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280" windowHeight="7020" tabRatio="598" activeTab="2"/>
  </bookViews>
  <sheets>
    <sheet name="LEIS SOCIAIS" sheetId="1" r:id="rId1"/>
    <sheet name="BDI" sheetId="2" r:id="rId2"/>
    <sheet name="ORÇ - CONSOLIDADO" sheetId="3" r:id="rId3"/>
    <sheet name="RESUMO - 1" sheetId="4" state="hidden" r:id="rId4"/>
    <sheet name="RESUMO - 2" sheetId="5" state="hidden" r:id="rId5"/>
    <sheet name="RESUMO - 3" sheetId="6" state="hidden" r:id="rId6"/>
    <sheet name="Estudo cronograma" sheetId="7" state="hidden" r:id="rId7"/>
  </sheets>
  <externalReferences>
    <externalReference r:id="rId10"/>
    <externalReference r:id="rId11"/>
  </externalReferences>
  <definedNames>
    <definedName name="\0" localSheetId="2">'[1]HABITAÇÃO'!#REF!</definedName>
    <definedName name="\0" localSheetId="3">'[1]HABITAÇÃO'!#REF!</definedName>
    <definedName name="\0" localSheetId="4">'[1]HABITAÇÃO'!#REF!</definedName>
    <definedName name="\0" localSheetId="5">'[1]HABITAÇÃO'!#REF!</definedName>
    <definedName name="\0">'[1]HABITAÇÃO'!#REF!</definedName>
    <definedName name="\CC" localSheetId="2">'[2]MEDIÇÃO'!#REF!</definedName>
    <definedName name="\CC" localSheetId="3">'[2]MEDIÇÃO'!#REF!</definedName>
    <definedName name="\CC" localSheetId="4">'[2]MEDIÇÃO'!#REF!</definedName>
    <definedName name="\CC" localSheetId="5">'[2]MEDIÇÃO'!#REF!</definedName>
    <definedName name="\CC">'[2]MEDIÇÃO'!#REF!</definedName>
    <definedName name="\i" localSheetId="2">#REF!</definedName>
    <definedName name="\i" localSheetId="3">#REF!</definedName>
    <definedName name="\i" localSheetId="4">#REF!</definedName>
    <definedName name="\i" localSheetId="5">#REF!</definedName>
    <definedName name="\i">#REF!</definedName>
    <definedName name="\m" localSheetId="2">#REF!</definedName>
    <definedName name="\m" localSheetId="3">#REF!</definedName>
    <definedName name="\m" localSheetId="4">#REF!</definedName>
    <definedName name="\m" localSheetId="5">#REF!</definedName>
    <definedName name="\m">#REF!</definedName>
    <definedName name="\M10" localSheetId="2">'[2]MEDIÇÃO'!#REF!</definedName>
    <definedName name="\M10" localSheetId="3">'[2]MEDIÇÃO'!#REF!</definedName>
    <definedName name="\M10" localSheetId="4">'[2]MEDIÇÃO'!#REF!</definedName>
    <definedName name="\M10" localSheetId="5">'[2]MEDIÇÃO'!#REF!</definedName>
    <definedName name="\M10">'[2]MEDIÇÃO'!#REF!</definedName>
    <definedName name="\M11" localSheetId="2">'[2]MEDIÇÃO'!#REF!</definedName>
    <definedName name="\M11" localSheetId="3">'[2]MEDIÇÃO'!#REF!</definedName>
    <definedName name="\M11" localSheetId="4">'[2]MEDIÇÃO'!#REF!</definedName>
    <definedName name="\M11" localSheetId="5">'[2]MEDIÇÃO'!#REF!</definedName>
    <definedName name="\M11">'[2]MEDIÇÃO'!#REF!</definedName>
    <definedName name="\M2" localSheetId="2">'[2]MEDIÇÃO'!#REF!</definedName>
    <definedName name="\M2" localSheetId="3">'[2]MEDIÇÃO'!#REF!</definedName>
    <definedName name="\M2" localSheetId="4">'[2]MEDIÇÃO'!#REF!</definedName>
    <definedName name="\M2" localSheetId="5">'[2]MEDIÇÃO'!#REF!</definedName>
    <definedName name="\M2">'[2]MEDIÇÃO'!#REF!</definedName>
    <definedName name="\M3" localSheetId="2">'[2]MEDIÇÃO'!#REF!</definedName>
    <definedName name="\M3" localSheetId="3">'[2]MEDIÇÃO'!#REF!</definedName>
    <definedName name="\M3" localSheetId="4">'[2]MEDIÇÃO'!#REF!</definedName>
    <definedName name="\M3" localSheetId="5">'[2]MEDIÇÃO'!#REF!</definedName>
    <definedName name="\M3">'[2]MEDIÇÃO'!#REF!</definedName>
    <definedName name="\M4" localSheetId="2">'[2]MEDIÇÃO'!#REF!</definedName>
    <definedName name="\M4" localSheetId="3">'[2]MEDIÇÃO'!#REF!</definedName>
    <definedName name="\M4" localSheetId="4">'[2]MEDIÇÃO'!#REF!</definedName>
    <definedName name="\M4" localSheetId="5">'[2]MEDIÇÃO'!#REF!</definedName>
    <definedName name="\M4">'[2]MEDIÇÃO'!#REF!</definedName>
    <definedName name="\M5" localSheetId="2">'[2]MEDIÇÃO'!#REF!</definedName>
    <definedName name="\M5" localSheetId="3">'[2]MEDIÇÃO'!#REF!</definedName>
    <definedName name="\M5" localSheetId="4">'[2]MEDIÇÃO'!#REF!</definedName>
    <definedName name="\M5" localSheetId="5">'[2]MEDIÇÃO'!#REF!</definedName>
    <definedName name="\M5">'[2]MEDIÇÃO'!#REF!</definedName>
    <definedName name="\M6" localSheetId="2">'[2]MEDIÇÃO'!#REF!</definedName>
    <definedName name="\M6" localSheetId="3">'[2]MEDIÇÃO'!#REF!</definedName>
    <definedName name="\M6" localSheetId="4">'[2]MEDIÇÃO'!#REF!</definedName>
    <definedName name="\M6" localSheetId="5">'[2]MEDIÇÃO'!#REF!</definedName>
    <definedName name="\M6">'[2]MEDIÇÃO'!#REF!</definedName>
    <definedName name="\M7" localSheetId="2">'[2]MEDIÇÃO'!#REF!</definedName>
    <definedName name="\M7" localSheetId="3">'[2]MEDIÇÃO'!#REF!</definedName>
    <definedName name="\M7" localSheetId="4">'[2]MEDIÇÃO'!#REF!</definedName>
    <definedName name="\M7" localSheetId="5">'[2]MEDIÇÃO'!#REF!</definedName>
    <definedName name="\M7">'[2]MEDIÇÃO'!#REF!</definedName>
    <definedName name="\M8" localSheetId="2">'[2]MEDIÇÃO'!#REF!</definedName>
    <definedName name="\M8" localSheetId="3">'[2]MEDIÇÃO'!#REF!</definedName>
    <definedName name="\M8" localSheetId="4">'[2]MEDIÇÃO'!#REF!</definedName>
    <definedName name="\M8" localSheetId="5">'[2]MEDIÇÃO'!#REF!</definedName>
    <definedName name="\M8">'[2]MEDIÇÃO'!#REF!</definedName>
    <definedName name="\M9" localSheetId="2">'[2]MEDIÇÃO'!#REF!</definedName>
    <definedName name="\M9" localSheetId="3">'[2]MEDIÇÃO'!#REF!</definedName>
    <definedName name="\M9" localSheetId="4">'[2]MEDIÇÃO'!#REF!</definedName>
    <definedName name="\M9" localSheetId="5">'[2]MEDIÇÃO'!#REF!</definedName>
    <definedName name="\M9">'[2]MEDIÇÃO'!#REF!</definedName>
    <definedName name="\MM" localSheetId="2">'[2]MEDIÇÃO'!#REF!</definedName>
    <definedName name="\MM" localSheetId="3">'[2]MEDIÇÃO'!#REF!</definedName>
    <definedName name="\MM" localSheetId="4">'[2]MEDIÇÃO'!#REF!</definedName>
    <definedName name="\MM" localSheetId="5">'[2]MEDIÇÃO'!#REF!</definedName>
    <definedName name="\MM">'[2]MEDIÇÃO'!#REF!</definedName>
    <definedName name="\O" localSheetId="2">#REF!</definedName>
    <definedName name="\O" localSheetId="3">#REF!</definedName>
    <definedName name="\O" localSheetId="4">#REF!</definedName>
    <definedName name="\O" localSheetId="5">#REF!</definedName>
    <definedName name="\O">#REF!</definedName>
    <definedName name="\PP" localSheetId="2">'[2]MEDIÇÃO'!#REF!</definedName>
    <definedName name="\PP" localSheetId="3">'[2]MEDIÇÃO'!#REF!</definedName>
    <definedName name="\PP" localSheetId="4">'[2]MEDIÇÃO'!#REF!</definedName>
    <definedName name="\PP" localSheetId="5">'[2]MEDIÇÃO'!#REF!</definedName>
    <definedName name="\PP">'[2]MEDIÇÃO'!#REF!</definedName>
    <definedName name="\q" localSheetId="2">'[2]MEDIÇÃO'!#REF!</definedName>
    <definedName name="\q" localSheetId="3">'[2]MEDIÇÃO'!#REF!</definedName>
    <definedName name="\q" localSheetId="4">'[2]MEDIÇÃO'!#REF!</definedName>
    <definedName name="\q" localSheetId="5">'[2]MEDIÇÃO'!#REF!</definedName>
    <definedName name="\q">'[2]MEDIÇÃO'!#REF!</definedName>
    <definedName name="_xlnm._FilterDatabase" localSheetId="2" hidden="1">'ORÇ - CONSOLIDADO'!$A$10:$H$553</definedName>
    <definedName name="_xlfn.IFERROR" hidden="1">#NAME?</definedName>
    <definedName name="_xlfn.SHEET" hidden="1">#NAME?</definedName>
    <definedName name="_xlfn.XLOOKUP" hidden="1">#NAME?</definedName>
    <definedName name="_xlnm.Print_Area" localSheetId="0">'LEIS SOCIAIS'!$A$1:$C$41</definedName>
    <definedName name="_xlnm.Print_Area" localSheetId="2">'ORÇ - CONSOLIDADO'!$A$1:$H$562</definedName>
    <definedName name="_xlnm.Print_Area" localSheetId="3">'RESUMO - 1'!$A$1:$C$40</definedName>
    <definedName name="_xlnm.Print_Area" localSheetId="4">'RESUMO - 2'!$A$1:$C$40</definedName>
    <definedName name="_xlnm.Print_Area" localSheetId="5">'RESUMO - 3'!$A$1:$C$40</definedName>
    <definedName name="DESNIVEL" hidden="1">{#N/A,#N/A,FALSE,"RESUMO-BB1";#N/A,#N/A,FALSE,"MOD-A01-R - BB1";#N/A,#N/A,FALSE,"URB-BB1"}</definedName>
    <definedName name="_xlnm.Print_Titles" localSheetId="2">'ORÇ - CONSOLIDADO'!$1:$10</definedName>
    <definedName name="wrn.BB1." hidden="1">{#N/A,#N/A,FALSE,"RESUMO-BB1";#N/A,#N/A,FALSE,"MOD-A01-R - BB1";#N/A,#N/A,FALSE,"URB-BB1"}</definedName>
    <definedName name="wrn.BETER." hidden="1">{#N/A,#N/A,FALSE,"BETER -1";#N/A,#N/A,FALSE,"BETER -2";#N/A,#N/A,FALSE,"BETER -3";#N/A,#N/A,FALSE,"BETER -urb";#N/A,#N/A,FALSE,"BETER -RESUMO"}</definedName>
    <definedName name="wrn.GERAL." hidden="1">{#N/A,#N/A,FALSE,"GR?FICO";#N/A,#N/A,FALSE,"MED-URBANIZ";#N/A,#N/A,FALSE,"RES-URBANIZ";#N/A,#N/A,FALSE,"POS-F?SICA-BLOCO2";#N/A,#N/A,FALSE,"MED-BLOCO2";#N/A,#N/A,FALSE,"RES-BLOCO2";#N/A,#N/A,FALSE,"POS-F?SICA-BLOCO1";#N/A,#N/A,FALSE,"MED-BLOCO1";#N/A,#N/A,FALSE,"RES-BLOCO1";#N/A,#N/A,FALSE,"REAJUSTE";#N/A,#N/A,FALSE,"POS-F?SICA-RESUMO";#N/A,#N/A,FALSE,"EXTCRO";#N/A,#N/A,FALSE,"RES-GERAL";#N/A,#N/A,FALSE,"MULTA"}</definedName>
    <definedName name="wrn.ORÇAMENTO." hidden="1">{#N/A,#N/A,FALSE,"ORC-ACKE";#N/A,#N/A,FALSE,"RESUMO"}</definedName>
  </definedNames>
  <calcPr fullCalcOnLoad="1"/>
</workbook>
</file>

<file path=xl/sharedStrings.xml><?xml version="1.0" encoding="utf-8"?>
<sst xmlns="http://schemas.openxmlformats.org/spreadsheetml/2006/main" count="2681" uniqueCount="1425">
  <si>
    <t>ÍTEM</t>
  </si>
  <si>
    <t>13</t>
  </si>
  <si>
    <t>14</t>
  </si>
  <si>
    <t>m²</t>
  </si>
  <si>
    <t>un</t>
  </si>
  <si>
    <t>QUANT.</t>
  </si>
  <si>
    <t>DISCRIMINAÇÃO</t>
  </si>
  <si>
    <t>DESCRIÇÃO DOS SERVIÇOS</t>
  </si>
  <si>
    <t>Cotação</t>
  </si>
  <si>
    <t>TOTAL GERAL DA OBRA</t>
  </si>
  <si>
    <t>02</t>
  </si>
  <si>
    <t>03</t>
  </si>
  <si>
    <t>04</t>
  </si>
  <si>
    <t>05</t>
  </si>
  <si>
    <t>06</t>
  </si>
  <si>
    <t>07</t>
  </si>
  <si>
    <t>08</t>
  </si>
  <si>
    <t>09</t>
  </si>
  <si>
    <t>PINTURAS</t>
  </si>
  <si>
    <t>10</t>
  </si>
  <si>
    <t>11</t>
  </si>
  <si>
    <t>INSTALAÇÕES HIDRÁULICAS</t>
  </si>
  <si>
    <t>12</t>
  </si>
  <si>
    <t>INSTALAÇÕES ELÉTRICAS</t>
  </si>
  <si>
    <t>PISOS</t>
  </si>
  <si>
    <t>Limpeza final da obra</t>
  </si>
  <si>
    <t>SINAPI</t>
  </si>
  <si>
    <t>ITEM</t>
  </si>
  <si>
    <t>CUSTO - SUBTOTAL</t>
  </si>
  <si>
    <t xml:space="preserve">BDI </t>
  </si>
  <si>
    <t xml:space="preserve">PREÇO TOTAL </t>
  </si>
  <si>
    <t>02.02</t>
  </si>
  <si>
    <t>03.01</t>
  </si>
  <si>
    <t>01</t>
  </si>
  <si>
    <t>PLANILHA DE RESUMO ORÇAMENTÁRIO</t>
  </si>
  <si>
    <t>Lançamento e adensamento de concreto ou massa em estrutura</t>
  </si>
  <si>
    <t>Lançamento e adensamento de concreto ou massa em fundação</t>
  </si>
  <si>
    <t>COBERTURA</t>
  </si>
  <si>
    <t>H</t>
  </si>
  <si>
    <t>Argamassa de regularização e/ou proteção</t>
  </si>
  <si>
    <t>15</t>
  </si>
  <si>
    <t>Placa de identificação para obra</t>
  </si>
  <si>
    <t>A1</t>
  </si>
  <si>
    <t>A2</t>
  </si>
  <si>
    <t>A3</t>
  </si>
  <si>
    <t>Salário Educação</t>
  </si>
  <si>
    <t>A4</t>
  </si>
  <si>
    <t>A5</t>
  </si>
  <si>
    <t>A6</t>
  </si>
  <si>
    <t>A7</t>
  </si>
  <si>
    <t>A8</t>
  </si>
  <si>
    <t>A9</t>
  </si>
  <si>
    <t>B1</t>
  </si>
  <si>
    <t>B2</t>
  </si>
  <si>
    <t>B3</t>
  </si>
  <si>
    <t>Licença-paternidade</t>
  </si>
  <si>
    <t>B4</t>
  </si>
  <si>
    <t>B5</t>
  </si>
  <si>
    <t>C1</t>
  </si>
  <si>
    <t>C2</t>
  </si>
  <si>
    <t>C3</t>
  </si>
  <si>
    <t>D1</t>
  </si>
  <si>
    <t>D2</t>
  </si>
  <si>
    <t>IMPERMEABILIZAÇÕES</t>
  </si>
  <si>
    <t>02.08.020</t>
  </si>
  <si>
    <t>17.01.020</t>
  </si>
  <si>
    <t>06.01.020</t>
  </si>
  <si>
    <t>07.01.120</t>
  </si>
  <si>
    <t>06.11.040</t>
  </si>
  <si>
    <t>11.01.160</t>
  </si>
  <si>
    <t>11.16.040</t>
  </si>
  <si>
    <t>10.01.040</t>
  </si>
  <si>
    <t>11.16.060</t>
  </si>
  <si>
    <t>17.03.020</t>
  </si>
  <si>
    <t>Escavação manual em solo de 1ª e 2ª categoria em campo aberto</t>
  </si>
  <si>
    <t>Reaterro manual apiloado sem controle de compactação</t>
  </si>
  <si>
    <t>Armadura em barra de aço CA-50 (A ou B) fyk = 500 MPa</t>
  </si>
  <si>
    <t>Andaime torre metálico (1,5 x 1,5 m) com piso metálico</t>
  </si>
  <si>
    <t>02.05.202</t>
  </si>
  <si>
    <t>55.01.020</t>
  </si>
  <si>
    <t>UN</t>
  </si>
  <si>
    <t>Calha, rufo, afins em chapa galvanizada nº 24 - corte 0,33 m</t>
  </si>
  <si>
    <t>16.33.022</t>
  </si>
  <si>
    <t>SINAPI - SERV.</t>
  </si>
  <si>
    <t>A</t>
  </si>
  <si>
    <t>B</t>
  </si>
  <si>
    <t>Transporte de solo de 1ª e 2ª categoria por caminhão para distâncias superiores ao 15° km até o 20° km</t>
  </si>
  <si>
    <t>05.10.025</t>
  </si>
  <si>
    <t>M</t>
  </si>
  <si>
    <t>Forma plana em compensado para estrutura convencional</t>
  </si>
  <si>
    <t>09.02.020</t>
  </si>
  <si>
    <t>Cimentado desempenado</t>
  </si>
  <si>
    <t>Impermeabilização em membrana à base de polímeros acrílicos, na cor branca e reforço em tela poliéster</t>
  </si>
  <si>
    <t>32.16.060</t>
  </si>
  <si>
    <t>Tinta acrílica em massa, inclusive preparo</t>
  </si>
  <si>
    <t>33.10.050</t>
  </si>
  <si>
    <t>TOTAL 1 fase</t>
  </si>
  <si>
    <t>TOTAL 2 fase</t>
  </si>
  <si>
    <t>TOTAL 3 fase</t>
  </si>
  <si>
    <t>KG</t>
  </si>
  <si>
    <t>M3XKM</t>
  </si>
  <si>
    <t>GUINDASTE HIDRÁULICO AUTOPROPELIDO, COM LANÇA TELESCÓPICA 40 M, CAPACIDADE MÁXIMA 60 T, POTÊNCIA 260 KW - DEPRECIAÇÃO. AF_03/2016</t>
  </si>
  <si>
    <t>T</t>
  </si>
  <si>
    <t>MOTORISTA OPERADOR DE MUNCK COM ENCARGOS COMPLEMENTARES</t>
  </si>
  <si>
    <t>MESTRE DE OBRAS COM ENCARGOS COMPLEMENTARES</t>
  </si>
  <si>
    <t>11.01.130</t>
  </si>
  <si>
    <t>Chapisco</t>
  </si>
  <si>
    <t>Emboço desempenado com argamassa industrializada</t>
  </si>
  <si>
    <t>Concreto usinado, fck = 25 MPa</t>
  </si>
  <si>
    <t>46.01.080</t>
  </si>
  <si>
    <t>Tubo de PVC rígido soldável marrom, DN= 85 mm, (3´), inclusive conexões</t>
  </si>
  <si>
    <t>Seguro de Responsabilidade Civil / Garantia</t>
  </si>
  <si>
    <t>Risco de Engenharia / Imprevistos</t>
  </si>
  <si>
    <t>Despesas Financeiras</t>
  </si>
  <si>
    <t>CUSTO U. S/BDI</t>
  </si>
  <si>
    <t>PREÇO UN. C/BDI</t>
  </si>
  <si>
    <t>PREÇO TOTAL C/BDI</t>
  </si>
  <si>
    <t>PREÇO P.TOTAL C/BDI</t>
  </si>
  <si>
    <t>PLANILHA ORÇAMENTÁRIA</t>
  </si>
  <si>
    <t>Elaboração</t>
  </si>
  <si>
    <t>Empreendimento:</t>
  </si>
  <si>
    <t xml:space="preserve">DATA: </t>
  </si>
  <si>
    <t>Unidade:</t>
  </si>
  <si>
    <t>Descrição da fase:</t>
  </si>
  <si>
    <t>Número do contrato:</t>
  </si>
  <si>
    <t>Contratada :</t>
  </si>
  <si>
    <t>Valor contratado (R$):</t>
  </si>
  <si>
    <t>Número processo:</t>
  </si>
  <si>
    <t>M2MES</t>
  </si>
  <si>
    <t>UNMES</t>
  </si>
  <si>
    <t>MXMES</t>
  </si>
  <si>
    <t>Container</t>
  </si>
  <si>
    <t>02.02.130</t>
  </si>
  <si>
    <t>Locação de container tipo escritório com 1 vaso sanitário, 1 lavatório e 1 ponto para chuveiro - área mínima de 13,80 m²</t>
  </si>
  <si>
    <t>02.02.140</t>
  </si>
  <si>
    <t>Locação de container tipo sanitário com 2 vasos sanitários, 2 lavatórios, 2 mictórios e 4 pontos para chuveiro - área mínima de 13,80 m²</t>
  </si>
  <si>
    <t>02.02.150</t>
  </si>
  <si>
    <t>Locação de container tipo depósito - área mínima de 13,80 m²</t>
  </si>
  <si>
    <t>Tapume, vedação e proteções diversas</t>
  </si>
  <si>
    <t>02.03.120</t>
  </si>
  <si>
    <t>Tapume fixo para fechamento de áreas, com portão</t>
  </si>
  <si>
    <t>02.03.200</t>
  </si>
  <si>
    <t>Locação de quadros metálicos para plataforma de proteção, inclusive o madeiramento</t>
  </si>
  <si>
    <t>Andaime e balancim</t>
  </si>
  <si>
    <t>02.05.060</t>
  </si>
  <si>
    <t>Montagem e desmontagem de andaime torre metálica com altura até 10 m</t>
  </si>
  <si>
    <t>Alocação de equipe, equipamento e ferramental</t>
  </si>
  <si>
    <t>02.08</t>
  </si>
  <si>
    <t>Sinalização de obra</t>
  </si>
  <si>
    <t>Demolição de concreto, lastro, mistura e afins</t>
  </si>
  <si>
    <t>03.01.020</t>
  </si>
  <si>
    <t>Demolição manual de concreto simples</t>
  </si>
  <si>
    <t>03.01.040</t>
  </si>
  <si>
    <t>Demolição manual de concreto armado</t>
  </si>
  <si>
    <t>03.02</t>
  </si>
  <si>
    <t>Demolição de alvenaria</t>
  </si>
  <si>
    <t>03.02.040</t>
  </si>
  <si>
    <t>Demolição manual de alvenaria de elevação ou elemento vazado, incluindo revestimento</t>
  </si>
  <si>
    <t>04.02</t>
  </si>
  <si>
    <t>04.02.070</t>
  </si>
  <si>
    <t>Retirada de estrutura em madeira tesoura - telhas perfil qualquer</t>
  </si>
  <si>
    <t>04.03.040</t>
  </si>
  <si>
    <t>Retirada de telhamento perfil e material qualquer, exceto barro</t>
  </si>
  <si>
    <t>04.03.080</t>
  </si>
  <si>
    <t>Retirada de cumeeira, espigão ou rufo perfil qualquer</t>
  </si>
  <si>
    <t>04.17.140</t>
  </si>
  <si>
    <t>Remoção de base e haste de para-raios</t>
  </si>
  <si>
    <t>04.18.200</t>
  </si>
  <si>
    <t>Remoção de captor de para-raios tipo Franklin</t>
  </si>
  <si>
    <t>04.18.360</t>
  </si>
  <si>
    <t>Remoção de condutor aparente diâmetro externo acima de 6,5 mm</t>
  </si>
  <si>
    <t>04.18.400</t>
  </si>
  <si>
    <t>Remoção de condutor especial</t>
  </si>
  <si>
    <t>04.18.410</t>
  </si>
  <si>
    <t>Remoção de cordoalha ou cabo de cobre nu</t>
  </si>
  <si>
    <t>04.30</t>
  </si>
  <si>
    <t>Retirada em instalação hidráulica</t>
  </si>
  <si>
    <t>04.30.060</t>
  </si>
  <si>
    <t>Remoção de tubulação hidráulica em geral, incluindo conexões, caixas e ralos</t>
  </si>
  <si>
    <t>04.30.100</t>
  </si>
  <si>
    <t>Remoção de reservatório em fibrocimento até 1000 litros</t>
  </si>
  <si>
    <t>04.35</t>
  </si>
  <si>
    <t>Retirada de sistema e equipamento de conforto mecânico</t>
  </si>
  <si>
    <t>05.04.060</t>
  </si>
  <si>
    <t>Transporte manual horizontal e/ou vertical de entulho até o local de despejo - ensacado</t>
  </si>
  <si>
    <t>05.08</t>
  </si>
  <si>
    <t>Transporte mecanizado de material solto</t>
  </si>
  <si>
    <t>05.08.140</t>
  </si>
  <si>
    <t>Transporte de entulho, para distâncias superiores ao 20° km</t>
  </si>
  <si>
    <t>05.09.006</t>
  </si>
  <si>
    <t>Taxa de destinação de resíduo sólido em aterro, tipo inerte</t>
  </si>
  <si>
    <t>05.09.008</t>
  </si>
  <si>
    <t>Transporte e taxa de destinação de resíduo sólido em aterro, tipo telhas cimento amianto</t>
  </si>
  <si>
    <t>Carga e remoção de terra até a distância média de 1 km</t>
  </si>
  <si>
    <t>Concreto usinado, fck = 30 MPa</t>
  </si>
  <si>
    <t>14.02.040</t>
  </si>
  <si>
    <t>Alvenaria de elevação de 1 tijolo maciço comum</t>
  </si>
  <si>
    <t>14.30</t>
  </si>
  <si>
    <t>Divisória e fechamento</t>
  </si>
  <si>
    <t>14.30.160</t>
  </si>
  <si>
    <t>Divisória em placas de gesso acartonado, resistência ao fogo 60 minutos, espessura 120/90mm - 1RF / 1RF LM</t>
  </si>
  <si>
    <t>16</t>
  </si>
  <si>
    <t>16.13</t>
  </si>
  <si>
    <t>Telhamento metálico especial</t>
  </si>
  <si>
    <t>16.13.130</t>
  </si>
  <si>
    <t>16.16.400</t>
  </si>
  <si>
    <t>17</t>
  </si>
  <si>
    <t>17.01.040</t>
  </si>
  <si>
    <t>Lastro de concreto impermeabilizado</t>
  </si>
  <si>
    <t>17.02</t>
  </si>
  <si>
    <t>Revestimento em argamassa</t>
  </si>
  <si>
    <t>17.02.020</t>
  </si>
  <si>
    <t>17.02.160</t>
  </si>
  <si>
    <t>18</t>
  </si>
  <si>
    <t>19</t>
  </si>
  <si>
    <t>20</t>
  </si>
  <si>
    <t>21</t>
  </si>
  <si>
    <t>24.01</t>
  </si>
  <si>
    <t>Caixilho em ferro</t>
  </si>
  <si>
    <t>24.01.120</t>
  </si>
  <si>
    <t>Caixilho tipo veneziana industrial com montantes em aço galvanizado e aletas em fibra de vidro</t>
  </si>
  <si>
    <t>32.15</t>
  </si>
  <si>
    <t>32.16</t>
  </si>
  <si>
    <t>Impermeabilizacao flexivel com membranas</t>
  </si>
  <si>
    <t>Massa corrida</t>
  </si>
  <si>
    <t>33.02.060</t>
  </si>
  <si>
    <t>Massa corrida a base de PVA</t>
  </si>
  <si>
    <t>33.07.102</t>
  </si>
  <si>
    <t>33.10</t>
  </si>
  <si>
    <t>33.10.020</t>
  </si>
  <si>
    <t>Tinta látex em massa, inclusive preparo</t>
  </si>
  <si>
    <t>39.04.080</t>
  </si>
  <si>
    <t>Cabo de cobre nu, têmpera mole, classe 2, de 50 mm²</t>
  </si>
  <si>
    <t>42.01.098</t>
  </si>
  <si>
    <t>Captor tipo terminal aéreo, h= 600 mm, diâmetro de 3/8´ galvanizado a fogo</t>
  </si>
  <si>
    <t>42.05.190</t>
  </si>
  <si>
    <t>Haste de aterramento de 3/4'' x 3 m</t>
  </si>
  <si>
    <t>42.05.440</t>
  </si>
  <si>
    <t>Barra condutora chata em alumínio de 7/8´ x 1/8´, inclusive acessórios de fixação</t>
  </si>
  <si>
    <t>42.20.090</t>
  </si>
  <si>
    <t>Solda exotérmica conexão cabo-cabo horizontal em X, bitola do cabo de 50-25mm² a 95-50mm²</t>
  </si>
  <si>
    <t>46.01.020</t>
  </si>
  <si>
    <t>Tubo de PVC rígido soldável marrom, DN= 25 mm, (3/4´), inclusive conexões</t>
  </si>
  <si>
    <t>46.01.030</t>
  </si>
  <si>
    <t>Tubo de PVC rígido soldável marrom, DN= 32 mm, (1´), inclusive conexões</t>
  </si>
  <si>
    <t>46.01.050</t>
  </si>
  <si>
    <t>Tubo de PVC rígido soldável marrom, DN= 50 mm, (1 1/2´), inclusive conexões</t>
  </si>
  <si>
    <t>46.05.090</t>
  </si>
  <si>
    <t>Tubo PVC rígido, tipo Coletor Esgoto, junta elástica, DN= 400 mm, inclusive conexões</t>
  </si>
  <si>
    <t>49.06.020</t>
  </si>
  <si>
    <t>Grelha em ferro fundido para caixas e canaletas</t>
  </si>
  <si>
    <t>55.10.030</t>
  </si>
  <si>
    <t>Locação de duto coletor de entulho</t>
  </si>
  <si>
    <t>CDHU</t>
  </si>
  <si>
    <t>ITENS</t>
  </si>
  <si>
    <t>VALOR (%)</t>
  </si>
  <si>
    <t>Serviço Social da Indústria (SESI)</t>
  </si>
  <si>
    <t>Serviço Nacional de Aprendizagem Industrial (SENAI)</t>
  </si>
  <si>
    <t>Serviço de Apoio a Pequena e Média Empresa (SEBRAE)</t>
  </si>
  <si>
    <t>Incra (Instituto Nacional de Colonização e Reforma Agrária )</t>
  </si>
  <si>
    <t>Seguro contra os acidentes de Trabalho (INSS)</t>
  </si>
  <si>
    <t>Seconci (Serviço Social da Indústria da Construção e Mobiliário)</t>
  </si>
  <si>
    <t>Auxílio-enfermidade</t>
  </si>
  <si>
    <t>C</t>
  </si>
  <si>
    <t>D</t>
  </si>
  <si>
    <t>Total das taxas das reincidências</t>
  </si>
  <si>
    <t>ENCARGOS SOCIAIS OU LEIS SOCIAIS</t>
  </si>
  <si>
    <t>SINAPI - INSU.</t>
  </si>
  <si>
    <t>DEMOLIÇÕES E REMOÇÕES</t>
  </si>
  <si>
    <t>Estrutura moldada in loco - Calhas das coberturas</t>
  </si>
  <si>
    <t>Estrutura moldada in loco - Laje base equipamentos</t>
  </si>
  <si>
    <t>Estrutura moldada in loco - Recomposição lajes (descida águas)</t>
  </si>
  <si>
    <t xml:space="preserve">SPDA - SISTEMA DE PÁRA-RAIOS </t>
  </si>
  <si>
    <t>Total dos Encargos Sociais Básicos</t>
  </si>
  <si>
    <t>Repouso semanal e feriados</t>
  </si>
  <si>
    <t>Total dos Encargos Sociais que recebe as incidências de A</t>
  </si>
  <si>
    <t>Total dos Encargos Sociais que não recebem as incidências globais de A</t>
  </si>
  <si>
    <t>SERVIÇOS INICIAIS</t>
  </si>
  <si>
    <t>Locação de escada metálica tipo andaime com altura útil 12m</t>
  </si>
  <si>
    <t>ESTRUTURA METÁLICA</t>
  </si>
  <si>
    <t>ESTRUTURA DE  CONCRETO</t>
  </si>
  <si>
    <t>Administração da obra</t>
  </si>
  <si>
    <t>SERVIÇOS ADMINISTRATIVOS</t>
  </si>
  <si>
    <t>SERVIÇOS FINAL</t>
  </si>
  <si>
    <t>MUSEU AFRO BRASIL</t>
  </si>
  <si>
    <t>Io:</t>
  </si>
  <si>
    <t>LEIS SOCIAIS /ENCARGOS SOCIAIS</t>
  </si>
  <si>
    <t>TETOS</t>
  </si>
  <si>
    <t>REVESTIMENTOS PAREDES</t>
  </si>
  <si>
    <t>Retirada de elementos de estrutura (concreto, ferro, alumínio e madeira)</t>
  </si>
  <si>
    <t>04.08</t>
  </si>
  <si>
    <t>Retirada de esquadria e elemento de madeira</t>
  </si>
  <si>
    <t>04.18</t>
  </si>
  <si>
    <t>L</t>
  </si>
  <si>
    <t>ALVENARIA E ELEMENTO DIVISOR</t>
  </si>
  <si>
    <t>14.10</t>
  </si>
  <si>
    <t>Alvenaria com bloco de concreto de vedação</t>
  </si>
  <si>
    <t>15.03.030</t>
  </si>
  <si>
    <t>Fornecimento e montagem de estrutura em aço ASTM-A36, sem pintura</t>
  </si>
  <si>
    <t>17.03</t>
  </si>
  <si>
    <t>17.10</t>
  </si>
  <si>
    <t>22</t>
  </si>
  <si>
    <t>23</t>
  </si>
  <si>
    <t>ESQUADRIA, MARCENARIA E ELEMENTO EM MADEIRA</t>
  </si>
  <si>
    <t>23.04</t>
  </si>
  <si>
    <t>Porta lisa laminada montada com batente</t>
  </si>
  <si>
    <t>24</t>
  </si>
  <si>
    <t>ESQUADRIA, SERRALHERIA E ELEMENTO EM FERRO</t>
  </si>
  <si>
    <t>24.03</t>
  </si>
  <si>
    <t>Elementos em ferro</t>
  </si>
  <si>
    <t>24.08</t>
  </si>
  <si>
    <t>Esquadria, serralheria e elemento em aco inoxidavel</t>
  </si>
  <si>
    <t>ESQUADRIA E ELEMENTO EM VIDRO</t>
  </si>
  <si>
    <t>Espelhos</t>
  </si>
  <si>
    <t>ACESSIBILIDADE</t>
  </si>
  <si>
    <t>Barra de apoio</t>
  </si>
  <si>
    <t>32.15.040</t>
  </si>
  <si>
    <t>Impermeabilização em manta asfáltica com armadura, tipo III-B, espessura de 4 mm</t>
  </si>
  <si>
    <t>33.07.140</t>
  </si>
  <si>
    <t>Pintura com esmalte alquídico em estrutura metálica</t>
  </si>
  <si>
    <t>Caixa de passagem com tampa</t>
  </si>
  <si>
    <t>Aparelhos e loucas</t>
  </si>
  <si>
    <t>Acessorios e metais</t>
  </si>
  <si>
    <t>55.01</t>
  </si>
  <si>
    <t>Limpeza de obra</t>
  </si>
  <si>
    <t>VÁLVULA EM METAL CROMADO 1.1/2 X 1.1/2 PARA TANQUE OU LAVATÓRIO, COM OU SEM LADRÃO - FORNECIMENTO E INSTALAÇÃO. AF_01/2020</t>
  </si>
  <si>
    <t>SABONETEIRA PLASTICA TIPO DISPENSER PARA SABONETE LIQUIDO COM RESERVATORIO 800 A 1500 ML, INCLUSO FIXAÇÃO. AF_01/2020</t>
  </si>
  <si>
    <t>MICTÓRIO SIFONADO LOUÇA BRANCA PARA ENTRADA DE ÁGUA EMBUTIDA  PADRÃO ALTO  FORNECIMENTO E INSTALAÇÃO. AF_01/2020</t>
  </si>
  <si>
    <t>PREPARO DE FUNDO DE VALA COM LARGURA MENOR QUE 1,5 M (ACERTO DO SOLO NATURAL). AF_08/2020</t>
  </si>
  <si>
    <t>REMOÇÃO DE CABOS ELÉTRICOS, DE FORMA MANUAL, SEM REAPROVEITAMENTO. AF_12/2017</t>
  </si>
  <si>
    <t>REMOÇÃO DE LOUÇAS, DE FORMA MANUAL, SEM REAPROVEITAMENTO. AF_12/2017</t>
  </si>
  <si>
    <t>ALMOXARIFE COM ENCARGOS COMPLEMENTARES</t>
  </si>
  <si>
    <t>ENCARREGADO GERAL COM ENCARGOS COMPLEMENTARES</t>
  </si>
  <si>
    <t xml:space="preserve">SINAPI </t>
  </si>
  <si>
    <t>m³</t>
  </si>
  <si>
    <t>ENGENHEIRO CIVIL DE OBRA SENIOR</t>
  </si>
  <si>
    <t>PLANILHA NÃO DESONERADA</t>
  </si>
  <si>
    <t>OBJETO: REFORMA DA COBERTURA DO MUSEU AFRO BRASIL</t>
  </si>
  <si>
    <t>TIPO DE OBRA: REFORMA</t>
  </si>
  <si>
    <t>DESONERAÇÃO</t>
  </si>
  <si>
    <t>Não</t>
  </si>
  <si>
    <t>SIGLAS</t>
  </si>
  <si>
    <t>% ADOTADA</t>
  </si>
  <si>
    <t>AC</t>
  </si>
  <si>
    <t>ISS</t>
  </si>
  <si>
    <t xml:space="preserve">Administração Central </t>
  </si>
  <si>
    <t>R</t>
  </si>
  <si>
    <t>BDI</t>
  </si>
  <si>
    <t>DF</t>
  </si>
  <si>
    <t>Tributos (Impostos COFINS 3%, e
PIS 0,65%)</t>
  </si>
  <si>
    <t>CP</t>
  </si>
  <si>
    <t>Tributos (ISS, variável de acordo
com o município)</t>
  </si>
  <si>
    <t>Tributos (Contribuição
Previdenciária sobre a receita
Bruta - 0% ou 4,5% -
Desoneração)</t>
  </si>
  <si>
    <t>CPRB</t>
  </si>
  <si>
    <t>BDI SEM Desoneração (Fórmula
Acórdão TCU)</t>
  </si>
  <si>
    <t>Lucro</t>
  </si>
  <si>
    <t>S+G</t>
  </si>
  <si>
    <t>Os valores de BDI foram calculados com o emprego da fórmula</t>
  </si>
  <si>
    <t>BDI.PAD= (((((1+AC+S+R+G)*(1+DF)*(1+l))/(1-l))-1)X100</t>
  </si>
  <si>
    <t>Feriados</t>
  </si>
  <si>
    <t>13º Salário</t>
  </si>
  <si>
    <t>B6</t>
  </si>
  <si>
    <t>B7</t>
  </si>
  <si>
    <t>B8</t>
  </si>
  <si>
    <t>B9</t>
  </si>
  <si>
    <t>B10</t>
  </si>
  <si>
    <t>Faltas Justificadas</t>
  </si>
  <si>
    <t>Dias de Chuvas</t>
  </si>
  <si>
    <t>Auxílio Acidente de Trabalho</t>
  </si>
  <si>
    <t>Férias Gozadas</t>
  </si>
  <si>
    <t>Salário Maternidade 0,03% 0,02% 0,03% 0,02% B T</t>
  </si>
  <si>
    <t>Aviso Prévio Indenizado</t>
  </si>
  <si>
    <t>Aviso Prévio Trabalhado</t>
  </si>
  <si>
    <t>Férias Indenizadas</t>
  </si>
  <si>
    <t>Depósito Rescisão Sem Justa Causa</t>
  </si>
  <si>
    <t>Indenização Adicional</t>
  </si>
  <si>
    <t>C4</t>
  </si>
  <si>
    <t>C5</t>
  </si>
  <si>
    <t>Reincidência de Grupo A sobre Aviso Prévio Trabalhado e Reincidência do FGTS sobre Aviso Prévio Indenizado</t>
  </si>
  <si>
    <t>Reincidência de Grupo A sobre Grupo B</t>
  </si>
  <si>
    <t>Previdência Social - INSS</t>
  </si>
  <si>
    <t>Fundo de Garantia por Tempo de Serviço (FGTS)</t>
  </si>
  <si>
    <t>Enc. Sociais sem desoneração</t>
  </si>
  <si>
    <t>BDI sem desoneração</t>
  </si>
  <si>
    <t>LOUÇAS E METAIS SANITÁRIOS</t>
  </si>
  <si>
    <t>Alvenaria de bloco de concreto de vedação de 14 x 19 x 39 cm - classe C</t>
  </si>
  <si>
    <t>Divisória em placas de gesso acartonado, resistência ao fogo 30 minutos, espessura 100/70mm - 1RU / 1RU</t>
  </si>
  <si>
    <t>Porta em laminado melamínico estrutural com acabamento texturizado, batente em alumínio com ferragens - 60 x 180 cm</t>
  </si>
  <si>
    <t>Porta em laminado fenólico melamínico com batente em alumínio - 80 x 180 cm</t>
  </si>
  <si>
    <t>Forro em painéis de gesso acartonado, espessura de 12,5 mm, fixo</t>
  </si>
  <si>
    <t>SBC</t>
  </si>
  <si>
    <t>Enchimento de laje com concreto celular com densidade de 1.200 kg/m³</t>
  </si>
  <si>
    <t>Revestimento em borracha sintética colorida de 5 mm, para sinalização tátil de alerta / direcional - assentamento argamassado</t>
  </si>
  <si>
    <t>Fita adesiva antiderrapante com largura de 5 cm</t>
  </si>
  <si>
    <t>Borracha clorada para faixas demarcatórias</t>
  </si>
  <si>
    <t>Sinalização com pictograma para vaga de estacionamento, com faixas demarcatórias</t>
  </si>
  <si>
    <t>Sinalizador audiovisual de advertência</t>
  </si>
  <si>
    <t>Placa para sinalização tátil (início ou final) em braile para corrimão</t>
  </si>
  <si>
    <t>Placa de sinalização tátil em poliestireno com alto relevo em braile, para identificação de pavimentos</t>
  </si>
  <si>
    <t>Placa para sinalização tátil (pavimento) em braile para corrimão</t>
  </si>
  <si>
    <t>Epóxi em massa, inclusive preparo</t>
  </si>
  <si>
    <t>PINTURA CAIACAO INTERNA PAREDES EM 3 DEMAOS</t>
  </si>
  <si>
    <t>PORTA COMPLETA MADEIRA 0,85x2,10m REV.LAMINADO/CH.ACO INOX 40cm</t>
  </si>
  <si>
    <t>PORTA COMPLETA MADEIRA 1 FL.0,70x2,10m-FER.+REV.LAMINADO</t>
  </si>
  <si>
    <t>PORTA COMPLETA MADEIRA 1 FL.0,80x2.10m-REV.LAMINADO-C/FERR.</t>
  </si>
  <si>
    <t>PORTA COMPLETA MADEIRA 1 FL.1,00x2,10m FER.+REVEST. LAMINADO</t>
  </si>
  <si>
    <t>PORTA COMPLETA MADEIRA 2 FL.1,60x2,10m REV.LAMINADO+FERRAGENS</t>
  </si>
  <si>
    <t>Barra antipânico de sobrepor com maçaneta e chave, para porta dupla em vidro</t>
  </si>
  <si>
    <t>CJ</t>
  </si>
  <si>
    <t>Barra antipânico de sobrepor com maçaneta e chave, para porta em vidro de 1 folha</t>
  </si>
  <si>
    <t>Lavatório de louça para canto, sem coluna - sem pertences</t>
  </si>
  <si>
    <t>Cuba de louça de embutir oval</t>
  </si>
  <si>
    <t>Cuba em aço inoxidável simples de 560x330x140mm</t>
  </si>
  <si>
    <t>Torneira de mesa para lavatório, acionamento hidromecânico com alavanca, registro integrado regulador de vazão, em latão cromado, DN= 1/2´</t>
  </si>
  <si>
    <t>Torneira de mesa para lavatório, acionamento hidromecânico, com registro integrado regulador de vazão, em latão cromado, DN= 1/2´</t>
  </si>
  <si>
    <t>Torneira de mesa para pia com bica móvel e arejador em latão fundido cromado</t>
  </si>
  <si>
    <t>METAIS CROMADOS PARA MICTORIO</t>
  </si>
  <si>
    <t>Sifão de metal cromado de 1 1/2´ x 2´</t>
  </si>
  <si>
    <t>Chuveiro elétrico de 6.500W / 220V com resistência blindada</t>
  </si>
  <si>
    <t>Sifão de metal cromado de 1´ x 1 1/2´</t>
  </si>
  <si>
    <t>Válvula americana</t>
  </si>
  <si>
    <t>Assento articulado para banho, em alumínio com pintura epóxi de 700 x 450 mm</t>
  </si>
  <si>
    <t>Ducha higiênica com registro</t>
  </si>
  <si>
    <t>Cabide cromado para banheiro</t>
  </si>
  <si>
    <t>Acabamento cromado para registro</t>
  </si>
  <si>
    <t>Dispenser toalheiro em ABS e policarbonato para bobina de 20 cm x 200 m, com alavanca</t>
  </si>
  <si>
    <t>Dispenser papel higiênico em ABS para rolão 300 / 600 m, com visor</t>
  </si>
  <si>
    <t>Barra de apoio reta, para pessoas com mobilidade reduzida, em tubo de aço inoxidável de 1 1/4´ x 400 mm</t>
  </si>
  <si>
    <t>Espelho em vidro cristal liso, espessura de 4 mm</t>
  </si>
  <si>
    <t>Corrimão duplo em tubo de aço inoxidável escovado, com diâmetro de 1 1/2´ e montantes com diâmetro de 2´</t>
  </si>
  <si>
    <t>20.1</t>
  </si>
  <si>
    <t>21.1</t>
  </si>
  <si>
    <t>14.10.111</t>
  </si>
  <si>
    <t>14.30.410</t>
  </si>
  <si>
    <t>23.04.570</t>
  </si>
  <si>
    <t>23.04.070</t>
  </si>
  <si>
    <t>14.30.070</t>
  </si>
  <si>
    <t>22.02.030</t>
  </si>
  <si>
    <t>11.18.070</t>
  </si>
  <si>
    <t>30.04.010</t>
  </si>
  <si>
    <t>21.20.300</t>
  </si>
  <si>
    <t>30.06.030</t>
  </si>
  <si>
    <t>33.09.020</t>
  </si>
  <si>
    <t>30.06.110</t>
  </si>
  <si>
    <t>50.05.492</t>
  </si>
  <si>
    <t>30.06.010</t>
  </si>
  <si>
    <t>30.06.132</t>
  </si>
  <si>
    <t>30.06.020</t>
  </si>
  <si>
    <t>33.10.060</t>
  </si>
  <si>
    <t>28.20.830</t>
  </si>
  <si>
    <t>28.20.820</t>
  </si>
  <si>
    <t>44.01.050</t>
  </si>
  <si>
    <t>44.01.610</t>
  </si>
  <si>
    <t>44.01.270</t>
  </si>
  <si>
    <t>44.06.320</t>
  </si>
  <si>
    <t>44.03.720</t>
  </si>
  <si>
    <t>44.03.310</t>
  </si>
  <si>
    <t>44.03.590</t>
  </si>
  <si>
    <t>44.20.200</t>
  </si>
  <si>
    <t>43.02.080</t>
  </si>
  <si>
    <t>44.20.220</t>
  </si>
  <si>
    <t>44.20.620</t>
  </si>
  <si>
    <t>30.08.030</t>
  </si>
  <si>
    <t>44.03.920</t>
  </si>
  <si>
    <t>44.03.090</t>
  </si>
  <si>
    <t>44.20.150</t>
  </si>
  <si>
    <t>44.03.010</t>
  </si>
  <si>
    <t>44.03.050</t>
  </si>
  <si>
    <t>30.01.061</t>
  </si>
  <si>
    <t>30.01.030</t>
  </si>
  <si>
    <t>30.01.120</t>
  </si>
  <si>
    <t>26.04.010</t>
  </si>
  <si>
    <t>24.08.020</t>
  </si>
  <si>
    <t>1</t>
  </si>
  <si>
    <t>1.1</t>
  </si>
  <si>
    <t>1.1.1</t>
  </si>
  <si>
    <t>1.1.2</t>
  </si>
  <si>
    <t>1.1.3</t>
  </si>
  <si>
    <t>1.2</t>
  </si>
  <si>
    <t>1.2.1</t>
  </si>
  <si>
    <t>1.2.2</t>
  </si>
  <si>
    <t>1.3</t>
  </si>
  <si>
    <t>1.3.1</t>
  </si>
  <si>
    <t>1.3.2</t>
  </si>
  <si>
    <t>1.3.3</t>
  </si>
  <si>
    <t>1.4</t>
  </si>
  <si>
    <t>1.4.1</t>
  </si>
  <si>
    <t>1.5</t>
  </si>
  <si>
    <t>1.5.1</t>
  </si>
  <si>
    <t>2</t>
  </si>
  <si>
    <t>2.1</t>
  </si>
  <si>
    <t>2.1.1</t>
  </si>
  <si>
    <t>2.1.2</t>
  </si>
  <si>
    <t>3</t>
  </si>
  <si>
    <t>3.1</t>
  </si>
  <si>
    <t>3.1.1</t>
  </si>
  <si>
    <t>3.1.2</t>
  </si>
  <si>
    <t>3.1.3</t>
  </si>
  <si>
    <t>3.2</t>
  </si>
  <si>
    <t>3.2.1</t>
  </si>
  <si>
    <t>3.2.2</t>
  </si>
  <si>
    <t>3.3</t>
  </si>
  <si>
    <t>3.3.1</t>
  </si>
  <si>
    <t>3.4</t>
  </si>
  <si>
    <t>3.4.1</t>
  </si>
  <si>
    <t>3.4.2</t>
  </si>
  <si>
    <t>3.5</t>
  </si>
  <si>
    <t>3.5.1</t>
  </si>
  <si>
    <t>3.6</t>
  </si>
  <si>
    <t>3.6.1</t>
  </si>
  <si>
    <t>3.6.2</t>
  </si>
  <si>
    <t>3.7</t>
  </si>
  <si>
    <t>3.7.1</t>
  </si>
  <si>
    <t>3.7.2</t>
  </si>
  <si>
    <t>3.7.3</t>
  </si>
  <si>
    <t>3.7.4</t>
  </si>
  <si>
    <t>3.7.5</t>
  </si>
  <si>
    <t>4.1</t>
  </si>
  <si>
    <t>4.1.1</t>
  </si>
  <si>
    <t>4.1.2</t>
  </si>
  <si>
    <t>4.1.3</t>
  </si>
  <si>
    <t>4.1.4</t>
  </si>
  <si>
    <t>4.2</t>
  </si>
  <si>
    <t>4.2.1</t>
  </si>
  <si>
    <t>4.2.2</t>
  </si>
  <si>
    <t>4.2.3</t>
  </si>
  <si>
    <t>4.2.4</t>
  </si>
  <si>
    <t>4.3</t>
  </si>
  <si>
    <t>4.3.1</t>
  </si>
  <si>
    <t>4.3.2</t>
  </si>
  <si>
    <t>4.3.3</t>
  </si>
  <si>
    <t>4.3.4</t>
  </si>
  <si>
    <t>4.4</t>
  </si>
  <si>
    <t>4.4.2</t>
  </si>
  <si>
    <t>4.4.3</t>
  </si>
  <si>
    <t>4.4.4</t>
  </si>
  <si>
    <t>4.4.5</t>
  </si>
  <si>
    <t>4.4.6</t>
  </si>
  <si>
    <t>5.1</t>
  </si>
  <si>
    <t>5.1.1</t>
  </si>
  <si>
    <t>5.1.2</t>
  </si>
  <si>
    <t>6.1</t>
  </si>
  <si>
    <t>6.1.1</t>
  </si>
  <si>
    <t>6.2</t>
  </si>
  <si>
    <t>6.2.1</t>
  </si>
  <si>
    <t>7.1</t>
  </si>
  <si>
    <t>7.1.1</t>
  </si>
  <si>
    <t>7.2</t>
  </si>
  <si>
    <t>7.2.1</t>
  </si>
  <si>
    <t>7.2.2</t>
  </si>
  <si>
    <t>8.1</t>
  </si>
  <si>
    <t>8.1.1</t>
  </si>
  <si>
    <t>8.1.2</t>
  </si>
  <si>
    <t>8.1.3</t>
  </si>
  <si>
    <t>9.1</t>
  </si>
  <si>
    <t>9.1.1</t>
  </si>
  <si>
    <t>9.1.2</t>
  </si>
  <si>
    <t>9.1.3</t>
  </si>
  <si>
    <t>11.1</t>
  </si>
  <si>
    <t>11.1.1</t>
  </si>
  <si>
    <t>14.1.1</t>
  </si>
  <si>
    <t>15.1</t>
  </si>
  <si>
    <t>15.1.1</t>
  </si>
  <si>
    <t>16.1</t>
  </si>
  <si>
    <t>17.1</t>
  </si>
  <si>
    <t>17.1.2</t>
  </si>
  <si>
    <t>17.1.3</t>
  </si>
  <si>
    <t>18.1</t>
  </si>
  <si>
    <t>18.1.2</t>
  </si>
  <si>
    <t>18.1.3</t>
  </si>
  <si>
    <t>19.1</t>
  </si>
  <si>
    <t>19.1.1</t>
  </si>
  <si>
    <t>6.2.2</t>
  </si>
  <si>
    <t>6.3</t>
  </si>
  <si>
    <t>6.3.1</t>
  </si>
  <si>
    <t>6.3.2</t>
  </si>
  <si>
    <t>9.1.4</t>
  </si>
  <si>
    <t>9.1.5</t>
  </si>
  <si>
    <t>9.1.6</t>
  </si>
  <si>
    <t>15.1.2</t>
  </si>
  <si>
    <t>17.4</t>
  </si>
  <si>
    <t>17.4.1</t>
  </si>
  <si>
    <t>17.4.2</t>
  </si>
  <si>
    <t>17.4.3</t>
  </si>
  <si>
    <t>18.2</t>
  </si>
  <si>
    <t>18.2.1</t>
  </si>
  <si>
    <t>18.2.2</t>
  </si>
  <si>
    <t>18.2.3</t>
  </si>
  <si>
    <t>18.2.4</t>
  </si>
  <si>
    <t>18.2.5</t>
  </si>
  <si>
    <t>18.2.6</t>
  </si>
  <si>
    <t>18.2.7</t>
  </si>
  <si>
    <t>18.2.8</t>
  </si>
  <si>
    <t>18.2.9</t>
  </si>
  <si>
    <t>18.3</t>
  </si>
  <si>
    <t>18.3.1</t>
  </si>
  <si>
    <t>18.3.2</t>
  </si>
  <si>
    <t>18.3.3</t>
  </si>
  <si>
    <t>19.1.2</t>
  </si>
  <si>
    <t>20.1.1</t>
  </si>
  <si>
    <t>20.1.2</t>
  </si>
  <si>
    <t>23.1</t>
  </si>
  <si>
    <t>24.1</t>
  </si>
  <si>
    <t>24.1.1</t>
  </si>
  <si>
    <t>25.1</t>
  </si>
  <si>
    <t>25.1.1</t>
  </si>
  <si>
    <t>25.1.2</t>
  </si>
  <si>
    <t>25.1.3</t>
  </si>
  <si>
    <t>25.1.4</t>
  </si>
  <si>
    <t>25.1.5</t>
  </si>
  <si>
    <t>25.1.6</t>
  </si>
  <si>
    <t>25.1.7</t>
  </si>
  <si>
    <t>25.1.8</t>
  </si>
  <si>
    <t>25.1.9</t>
  </si>
  <si>
    <t>26.1</t>
  </si>
  <si>
    <t>26.1.1</t>
  </si>
  <si>
    <t>Remoção de caixa para fusível ou tomada instalada em perfilado</t>
  </si>
  <si>
    <t>Remoção de aparelho de iluminação ou projetor fixo em teto, piso ou parede</t>
  </si>
  <si>
    <t>Remoção de condutor aparente diâmetro externo até 6,5 mm</t>
  </si>
  <si>
    <t>Retirada de folha de esquadria em madeira</t>
  </si>
  <si>
    <t>Retirada de bancada incluindo pertences</t>
  </si>
  <si>
    <t>Impermeabilização em membrana à base de polímeros acrílicos, na cor branca</t>
  </si>
  <si>
    <t>04.18.130</t>
  </si>
  <si>
    <t>04.17.020</t>
  </si>
  <si>
    <t>04.18.370</t>
  </si>
  <si>
    <t>04.08.020</t>
  </si>
  <si>
    <t>04.11.030</t>
  </si>
  <si>
    <t>32.16.050</t>
  </si>
  <si>
    <t>3.5.2</t>
  </si>
  <si>
    <t>Impermeabilizacao flexivel com membranas - Sanitários</t>
  </si>
  <si>
    <t>7.3</t>
  </si>
  <si>
    <t>7.3.1</t>
  </si>
  <si>
    <t>7.3.2</t>
  </si>
  <si>
    <t>3.8</t>
  </si>
  <si>
    <t>3.8.1</t>
  </si>
  <si>
    <t>3.8.2</t>
  </si>
  <si>
    <t>3.8.3</t>
  </si>
  <si>
    <t>3.8.4</t>
  </si>
  <si>
    <t>3.8.5</t>
  </si>
  <si>
    <t>3.8.6</t>
  </si>
  <si>
    <t>3.8.7</t>
  </si>
  <si>
    <t>3.8.8</t>
  </si>
  <si>
    <t>3.8.9</t>
  </si>
  <si>
    <t>3.8.10</t>
  </si>
  <si>
    <t>3.8.11</t>
  </si>
  <si>
    <t>REMOCAO DE DIVISORIAS DE MADEIRA/PREMOLDADOS</t>
  </si>
  <si>
    <t>RETIRADA E REMOCAO DE EQUIPAMENTOS AR COND.SPLIT+INSTALACOES</t>
  </si>
  <si>
    <t>Cabo de cobre flexível de 16 mm², isolamento 0,6/1 kV - isolação HEPR 90°C - baixa emissão de fumaça e gases</t>
  </si>
  <si>
    <t>Cabo de cobre flexível de 35 mm², isolamento 0,6/1 kV - isolação HEPR 90°C - baixa emissão de fumaça e gases</t>
  </si>
  <si>
    <t>Cabo de cobre flexível de 70 mm², isolamento 0,6/1 kV - isolação HEPR 90°C - baixa emissão de fumaça e gases</t>
  </si>
  <si>
    <t>Cabo de cobre flexível de 95 mm², isolamento 0,6/1 kV - isolação HEPR 90°C - baixa emissão de fumaça e gases</t>
  </si>
  <si>
    <t>Cabo de cobre flexível de 240 mm², isolamento 0,6/1 kV - isolação HEPR 90°C - baixa emissão de fumaça e gases</t>
  </si>
  <si>
    <t>Tubo de PVC rígido branco, pontas lisas, soldável, linha esgoto série normal, DN= 40 mm, inclusive conexões</t>
  </si>
  <si>
    <t>Caixa sifonada de PVC rígido de 150 x 185 x 75 mm, com grelha</t>
  </si>
  <si>
    <t>Tubo de PVC rígido soldável marrom, DN= 40 mm, (1 1/4´), inclusive conexões</t>
  </si>
  <si>
    <t>Tubo de PVC rígido soldável marrom, DN= 60 mm, (2´), inclusive conexões</t>
  </si>
  <si>
    <t>Registro de gaveta em latão fundido cromado com canopla, DN= 3/4´ - linha especial</t>
  </si>
  <si>
    <t>Entrada completa de água com abrigo e registro de gaveta, DN= 1´</t>
  </si>
  <si>
    <t>39.26.060</t>
  </si>
  <si>
    <t>39.26.080</t>
  </si>
  <si>
    <t>39.26.100</t>
  </si>
  <si>
    <t>39.26.110</t>
  </si>
  <si>
    <t>39.26.150</t>
  </si>
  <si>
    <t>46.02.010</t>
  </si>
  <si>
    <t>49.01.040</t>
  </si>
  <si>
    <t>46.01.040</t>
  </si>
  <si>
    <t>46.01.060</t>
  </si>
  <si>
    <t>47.02.020</t>
  </si>
  <si>
    <t>45.01.040</t>
  </si>
  <si>
    <t>39.04.070</t>
  </si>
  <si>
    <t>Cabo de cobre nu, têmpera mole, classe 2, de 35 mm²</t>
  </si>
  <si>
    <t>42.05.300</t>
  </si>
  <si>
    <t>Tampa para caixa de inspeção cilíndrica, aço galvanizado</t>
  </si>
  <si>
    <t>42.05.320</t>
  </si>
  <si>
    <t>Caixa de inspeção do terra cilíndrica em PVC rígido, diâmetro de 300 mm - h= 400 mm</t>
  </si>
  <si>
    <t>14.1.2</t>
  </si>
  <si>
    <t>14.1.3</t>
  </si>
  <si>
    <t>14.1.4</t>
  </si>
  <si>
    <t>14.1.5</t>
  </si>
  <si>
    <t>14.1.6</t>
  </si>
  <si>
    <t>14.1.7</t>
  </si>
  <si>
    <t>15.1.3</t>
  </si>
  <si>
    <t>15.1.4</t>
  </si>
  <si>
    <t>15.1.7</t>
  </si>
  <si>
    <t>15.1.8</t>
  </si>
  <si>
    <t>15.1.10</t>
  </si>
  <si>
    <t>16.1.1</t>
  </si>
  <si>
    <t>16.1.2</t>
  </si>
  <si>
    <t>16.1.3</t>
  </si>
  <si>
    <t>16.1.4</t>
  </si>
  <si>
    <t>16.1.5</t>
  </si>
  <si>
    <t>16.1.6</t>
  </si>
  <si>
    <t>16.1.7</t>
  </si>
  <si>
    <t>Esgoto</t>
  </si>
  <si>
    <t>Água fria</t>
  </si>
  <si>
    <t>Proposta</t>
  </si>
  <si>
    <t>5.2</t>
  </si>
  <si>
    <t>5.3</t>
  </si>
  <si>
    <t>13.1.2</t>
  </si>
  <si>
    <t>Revestimeneto de pisos</t>
  </si>
  <si>
    <t>Estrutura metálica cobertura</t>
  </si>
  <si>
    <t>Estrutura metálica poço elevadores</t>
  </si>
  <si>
    <t>15.03.140</t>
  </si>
  <si>
    <t>5.2.1</t>
  </si>
  <si>
    <t>5.2.2</t>
  </si>
  <si>
    <t>5.3.1</t>
  </si>
  <si>
    <t>5.3.2</t>
  </si>
  <si>
    <t>Estrutura metálica escadas emergencia (complemento)</t>
  </si>
  <si>
    <t>Fornecimento e montagem de estrutura tubular em aço ASTM-A572 Grau 50, sem pintura</t>
  </si>
  <si>
    <t>33.07.130</t>
  </si>
  <si>
    <t>Pintura epóxi bicomponente em estruturas metálicas</t>
  </si>
  <si>
    <t>REFORMA DO MUSEU AFRO BRASIL</t>
  </si>
  <si>
    <t>Aguas Pluviais</t>
  </si>
  <si>
    <t xml:space="preserve">Movimento de terra - tubulação drenagem </t>
  </si>
  <si>
    <t>SPDA - Sistema de pára-raios</t>
  </si>
  <si>
    <t>18.4</t>
  </si>
  <si>
    <t>18.4.1</t>
  </si>
  <si>
    <t>18.4.2</t>
  </si>
  <si>
    <t>Tampos em granito e mármore</t>
  </si>
  <si>
    <t>44.02.062</t>
  </si>
  <si>
    <t>44.02.100</t>
  </si>
  <si>
    <t>Tampo/bancada em granito, com frontão, espessura de 2 cm, acabamento polido</t>
  </si>
  <si>
    <t>Tampo/bancada em mármore nacional espessura de 3 cm</t>
  </si>
  <si>
    <t>FUNDAÇÕES E ESTRUTURA COMPLEMENTARES</t>
  </si>
  <si>
    <t>12.01.041</t>
  </si>
  <si>
    <t>07.01.020</t>
  </si>
  <si>
    <t>09.01.020</t>
  </si>
  <si>
    <t>05.07.040</t>
  </si>
  <si>
    <t>05.09.007</t>
  </si>
  <si>
    <t>32.15.030</t>
  </si>
  <si>
    <t>24.03.060</t>
  </si>
  <si>
    <t>24.03.100</t>
  </si>
  <si>
    <t>43.11.360</t>
  </si>
  <si>
    <t>Escavação e carga mecanizada em solo de 1ª categoria, em campo aberto</t>
  </si>
  <si>
    <t>Forma em madeira comum para fundação</t>
  </si>
  <si>
    <t>Taxa de destinação de resíduo sólido em aterro, tipo solo/terra</t>
  </si>
  <si>
    <t>Remoção de entulho separado de obra com caçamba metálica - terra, alvenaria, concreto, argamassa, madeira, papel, plástico ou metal</t>
  </si>
  <si>
    <t>Impermeabilização em manta asfáltica com armadura, tipo III-B, espessura de 3 mm</t>
  </si>
  <si>
    <t>Alçapão/tampa em chapa de ferro com porta cadeado</t>
  </si>
  <si>
    <t>6.4</t>
  </si>
  <si>
    <t>8.2</t>
  </si>
  <si>
    <t>4.2.5</t>
  </si>
  <si>
    <t>4.2.6</t>
  </si>
  <si>
    <t>4.2.7</t>
  </si>
  <si>
    <t>4.2.8</t>
  </si>
  <si>
    <t>4.2.9</t>
  </si>
  <si>
    <t>4.2.10</t>
  </si>
  <si>
    <t>4.2.11</t>
  </si>
  <si>
    <t>4.3.5</t>
  </si>
  <si>
    <t>4.3.6</t>
  </si>
  <si>
    <t>4.3.7</t>
  </si>
  <si>
    <t>4.3.8</t>
  </si>
  <si>
    <t>4.3.9</t>
  </si>
  <si>
    <t>4.3.10</t>
  </si>
  <si>
    <t>4.3.11</t>
  </si>
  <si>
    <t>4.3.12</t>
  </si>
  <si>
    <t>4.3.13</t>
  </si>
  <si>
    <t>4.3.14</t>
  </si>
  <si>
    <t>4.3.15</t>
  </si>
  <si>
    <t>4.3.16</t>
  </si>
  <si>
    <t>4.1.5</t>
  </si>
  <si>
    <t>4.1.6</t>
  </si>
  <si>
    <t>4.1.7</t>
  </si>
  <si>
    <t>4.1.8</t>
  </si>
  <si>
    <t>4.1.9</t>
  </si>
  <si>
    <t>4.1.10</t>
  </si>
  <si>
    <t>4.1.11</t>
  </si>
  <si>
    <t>4.1.12</t>
  </si>
  <si>
    <t>4.1.13</t>
  </si>
  <si>
    <t>4.1.14</t>
  </si>
  <si>
    <t>4.1.15</t>
  </si>
  <si>
    <t>4.1.17</t>
  </si>
  <si>
    <t>4.1.18</t>
  </si>
  <si>
    <t>Caixa de Gerador</t>
  </si>
  <si>
    <t>Caixa para drenagem</t>
  </si>
  <si>
    <t>5</t>
  </si>
  <si>
    <t>Rede de drenagem externa (interlização com caixas e rede publica</t>
  </si>
  <si>
    <t>21.1.1</t>
  </si>
  <si>
    <t>21.1.2</t>
  </si>
  <si>
    <t>22.1</t>
  </si>
  <si>
    <t>Estrutura moldada in loco - reforço para lajes dos elevadores</t>
  </si>
  <si>
    <t>Estrutura moldada in loco - reforço lajes cob. Esc. Emergencia</t>
  </si>
  <si>
    <t>Fosso elevadores panorâmicos</t>
  </si>
  <si>
    <t>4.4.7</t>
  </si>
  <si>
    <t>4.4.8</t>
  </si>
  <si>
    <t>4.4.9</t>
  </si>
  <si>
    <t>4.4.10</t>
  </si>
  <si>
    <t>4.4.11</t>
  </si>
  <si>
    <t>4.4.12</t>
  </si>
  <si>
    <t>4.4.13</t>
  </si>
  <si>
    <t>4.4.14</t>
  </si>
  <si>
    <t>Acessibilidade</t>
  </si>
  <si>
    <t>4</t>
  </si>
  <si>
    <t>6</t>
  </si>
  <si>
    <t>7</t>
  </si>
  <si>
    <t>8</t>
  </si>
  <si>
    <t>9</t>
  </si>
  <si>
    <t>Composição</t>
  </si>
  <si>
    <t>CONJUNTO PORTA CORTA FOGO - CLASSE P90 - C/ BATENTE P/ ALVENARIA - MOD. DUPLO - MED. ESPECIAL 2500X2100 mm - CERTIF PELA ABNT NBR 11742 - ACAB GALVANIZADO C/ 3 DOBRADIÇA C/ REFORÇO P/ BARRA</t>
  </si>
  <si>
    <t>CONJUNTO PORTA CORTA FOGO - CLASSE P90 - C/ BATENTE P/ ALVENARIA - MOD. DUPLO - MED. ESPECIAL 2000X2100 mm - CERTIF PELA ABNT NBR 11742 - ACAB GALVANIZADO C/ 3 DOBRADIÇA C/ REFORÇO P/ BARRA</t>
  </si>
  <si>
    <t>CONJUNTO PORTA CORTA FOGO - CLASSE P90 - C/ BATENTE P/ ALVENARIA - MOD. DUPLO - MED.
ESPECIAL 1600X2100 mm - CERTIF PELA ABNT NBR 11742 - ACAB GALVANIZADO C/ 3 DOBRADIÇA C/
REFORÇO P/ BARRA</t>
  </si>
  <si>
    <t>CONJUNTO PORTA CORTA FOGO - CLASSE P90 - C/ BATENTE P/ ALVENARIA - MOD. DUPLO - MED. ESPECIAL 1600X2100 mm - CERTIF PELA ABNT NBR 11742 - ACAB GALVANIZADO C/ 3 DOBRADIÇA C/REFORÇO P/ BARRA</t>
  </si>
  <si>
    <t>CONJUNTO PORTA CORTA FOGO - CLASSE P90 - C/ BATENTE ALVENARIA - MOD. SIMPLES - MED.
ESPECIAL 1000x2100 mm - CERTIF PELA ABNT NBR 11742 - ACAB GALVANIZADO C/ 3 DOBRADIÇA C/
REFORÇO P/ BARRA</t>
  </si>
  <si>
    <t>CONJUNTO PORTA CORTA FOGO - CLASSE P90 - C/ BATENTE ALVENARIA - MOD. SIMPLES - MED. ESPECIAL 1000x2100 mm - CERTIF PELA ABNT NBR 11742 - ACAB GALVANIZADO C/ 3 DOBRADIÇA C/REFORÇO P/ BARRA</t>
  </si>
  <si>
    <t>PORTA COMPLETA DE MADEIRA, FOLHAS DE ABIR. REV.LAMINADO DUAS FACES, PORTAS DE SHAFTS</t>
  </si>
  <si>
    <t>33.11.050</t>
  </si>
  <si>
    <t>FDE</t>
  </si>
  <si>
    <t>16.48.010</t>
  </si>
  <si>
    <t>Esmalte à base água em superfície metálica, inclusive preparo</t>
  </si>
  <si>
    <t>APLICACAO PINTURA IMPERM DUAS DEMAOS VERNIZ POLIUR ALIF BICOMPONENTES</t>
  </si>
  <si>
    <t>33.03.740</t>
  </si>
  <si>
    <t>Resina acrílica plastificante</t>
  </si>
  <si>
    <t>Pintura em esquadrias</t>
  </si>
  <si>
    <t>Pintura Látex</t>
  </si>
  <si>
    <t>5.1.3</t>
  </si>
  <si>
    <t>5.1.4</t>
  </si>
  <si>
    <t>5.2.3</t>
  </si>
  <si>
    <t>5.2.4</t>
  </si>
  <si>
    <t>5.3.3</t>
  </si>
  <si>
    <t>5.3.4</t>
  </si>
  <si>
    <t>18.5.1</t>
  </si>
  <si>
    <t>18.5.2</t>
  </si>
  <si>
    <t>6.1.2</t>
  </si>
  <si>
    <t>6.4.1</t>
  </si>
  <si>
    <t>6.4.2</t>
  </si>
  <si>
    <t>7.3.3</t>
  </si>
  <si>
    <t>8.2.1</t>
  </si>
  <si>
    <t>8.2.2</t>
  </si>
  <si>
    <t>8.3</t>
  </si>
  <si>
    <t>8.3.1</t>
  </si>
  <si>
    <t>8.3.2</t>
  </si>
  <si>
    <t>11.2</t>
  </si>
  <si>
    <t>11.2.1</t>
  </si>
  <si>
    <t>11.2.2</t>
  </si>
  <si>
    <t>11.2.3</t>
  </si>
  <si>
    <t>11.2.4</t>
  </si>
  <si>
    <t>11.2.5</t>
  </si>
  <si>
    <t>11.2.6</t>
  </si>
  <si>
    <t>11.2.7</t>
  </si>
  <si>
    <t>11.3</t>
  </si>
  <si>
    <t>11.3.1</t>
  </si>
  <si>
    <t>9.1.7</t>
  </si>
  <si>
    <t>13.1</t>
  </si>
  <si>
    <t>14.2</t>
  </si>
  <si>
    <t>14.2.1</t>
  </si>
  <si>
    <t>17.1.4</t>
  </si>
  <si>
    <t>17.1.6</t>
  </si>
  <si>
    <t>17.1.7</t>
  </si>
  <si>
    <t>18.3.4</t>
  </si>
  <si>
    <t>18.3.5</t>
  </si>
  <si>
    <t>18.3.6</t>
  </si>
  <si>
    <t>18.4.3</t>
  </si>
  <si>
    <t>18.4.4</t>
  </si>
  <si>
    <t>18.4.5</t>
  </si>
  <si>
    <t>18.5</t>
  </si>
  <si>
    <t>18.5.3</t>
  </si>
  <si>
    <t>18.5.4</t>
  </si>
  <si>
    <t>18.5.5</t>
  </si>
  <si>
    <t>18.5.6</t>
  </si>
  <si>
    <t>18.5.7</t>
  </si>
  <si>
    <t>18.5.8</t>
  </si>
  <si>
    <t>18.5.9</t>
  </si>
  <si>
    <t>18.5.11</t>
  </si>
  <si>
    <t>18.5.12</t>
  </si>
  <si>
    <t>18.5.13</t>
  </si>
  <si>
    <t>18.6</t>
  </si>
  <si>
    <t>18.6.1</t>
  </si>
  <si>
    <t>18.6.2</t>
  </si>
  <si>
    <t>18.6.3</t>
  </si>
  <si>
    <t>18.6.4</t>
  </si>
  <si>
    <t>18.6.5</t>
  </si>
  <si>
    <t>19.1.3</t>
  </si>
  <si>
    <t>19.1.4</t>
  </si>
  <si>
    <t>19.1.5</t>
  </si>
  <si>
    <t>19.2</t>
  </si>
  <si>
    <t>19.2.1</t>
  </si>
  <si>
    <t>19.2.2</t>
  </si>
  <si>
    <t>19.2.3</t>
  </si>
  <si>
    <t>19.2.4</t>
  </si>
  <si>
    <t>19.2.5</t>
  </si>
  <si>
    <t>19.2.6</t>
  </si>
  <si>
    <t>19.2.7</t>
  </si>
  <si>
    <t>19.2.8</t>
  </si>
  <si>
    <t>19.2.9</t>
  </si>
  <si>
    <t>19.2.10</t>
  </si>
  <si>
    <t>19.2.11</t>
  </si>
  <si>
    <t>19.2.12</t>
  </si>
  <si>
    <t>19.2.13</t>
  </si>
  <si>
    <t>19.2.14</t>
  </si>
  <si>
    <t>19.2.15</t>
  </si>
  <si>
    <t>19.2.16</t>
  </si>
  <si>
    <t>19.2.17</t>
  </si>
  <si>
    <t>19.2.18</t>
  </si>
  <si>
    <t>19.3</t>
  </si>
  <si>
    <t>19.3.1</t>
  </si>
  <si>
    <t>19.3.2</t>
  </si>
  <si>
    <t>19.3.3</t>
  </si>
  <si>
    <t>19.4</t>
  </si>
  <si>
    <t>19.4.1</t>
  </si>
  <si>
    <t>19.4.2</t>
  </si>
  <si>
    <t>22.1.1</t>
  </si>
  <si>
    <t>22.2</t>
  </si>
  <si>
    <t>22.2.1</t>
  </si>
  <si>
    <t>22.3.4</t>
  </si>
  <si>
    <t>22.3.8</t>
  </si>
  <si>
    <t>24.2</t>
  </si>
  <si>
    <t>24.2.1</t>
  </si>
  <si>
    <t>24.2.2</t>
  </si>
  <si>
    <t>24.2.3</t>
  </si>
  <si>
    <t>24.2.4</t>
  </si>
  <si>
    <t>24.3</t>
  </si>
  <si>
    <t>24.3.1</t>
  </si>
  <si>
    <t>24.3.2</t>
  </si>
  <si>
    <t>Tratamento laje cobertura</t>
  </si>
  <si>
    <t>55.01.140</t>
  </si>
  <si>
    <t>39.04.050</t>
  </si>
  <si>
    <t>Cabo de cobre nu, têmpera mole, classe 2, de 16 mm²</t>
  </si>
  <si>
    <t>42.05.210</t>
  </si>
  <si>
    <t>Haste de aterramento de 5/8'' x 3 m</t>
  </si>
  <si>
    <t>42.05.230</t>
  </si>
  <si>
    <t>Clips de fixação para vergalhão em aço galvanizado de 3/8´</t>
  </si>
  <si>
    <t>39.10.080</t>
  </si>
  <si>
    <t>Terminal de pressão/compressão para cabo de 16 mm²</t>
  </si>
  <si>
    <t>39.10.130</t>
  </si>
  <si>
    <t>Terminal de pressão/compressão para cabo de 35 mm²</t>
  </si>
  <si>
    <t>39.26.140</t>
  </si>
  <si>
    <t>Cabo de cobre flexível de 185 mm², isolamento 0,6/1 kV - isolação HEPR 90°C - baixa emissão de fumaça e gases</t>
  </si>
  <si>
    <t>38.13.010</t>
  </si>
  <si>
    <t>Eletroduto corrugado em polietileno de alta densidade, DN= 30 mm, com acessórios</t>
  </si>
  <si>
    <t>38.13.040</t>
  </si>
  <si>
    <t>Eletroduto corrugado em polietileno de alta densidade, DN= 100 mm, com acessórios</t>
  </si>
  <si>
    <t>40.02.620</t>
  </si>
  <si>
    <t>Caixa de passagem em alumínio fundido à prova de tempo, 300 x 300 mm</t>
  </si>
  <si>
    <t>40.02.080</t>
  </si>
  <si>
    <t>Caixa de passagem em chapa, com tampa parafusada, 300 x 300 x 120 mm</t>
  </si>
  <si>
    <t>40.02.120</t>
  </si>
  <si>
    <t>Caixa de passagem em chapa, com tampa parafusada, 500 x 500 x 150 mm</t>
  </si>
  <si>
    <t>36.09.220</t>
  </si>
  <si>
    <t>Transformador de potência trifásico de 500 kVA, classe 15 kV, a seco com cabine</t>
  </si>
  <si>
    <t>CAIXA PASSAGEM-ALVENARIA TIJOLOS-1,70x1,70m-H=1,5m-PAREDE 10cm</t>
  </si>
  <si>
    <t>36.20.282</t>
  </si>
  <si>
    <t>Placa de advertência em chapa de aço, com pintura refletiva "Perigo Alta Tensão"</t>
  </si>
  <si>
    <t>42.05.270</t>
  </si>
  <si>
    <t>Conector em latão estanhado para cabos de 16 a 50 mm² e vergalhões até 3/8"</t>
  </si>
  <si>
    <t>39.09.120</t>
  </si>
  <si>
    <t>Conector split-bolt para cabo de 35 mm², latão, com rabicho</t>
  </si>
  <si>
    <t>39.10.160</t>
  </si>
  <si>
    <t>Terminal de pressão/compressão para cabo de 50 mm²</t>
  </si>
  <si>
    <t>CABO ISOLADO COBRE 06/1KV 90 GRAUS 50mm2</t>
  </si>
  <si>
    <t>BUCHA DE ALUMINIO PARA ELETRODUTO 1""</t>
  </si>
  <si>
    <t>BUCHA E ARRUELA ALUMINIO 4""</t>
  </si>
  <si>
    <t>BUCHA E ARRUELA DE ALUMINIO PARA ELETRODUTO 1.1/4""</t>
  </si>
  <si>
    <t>BUCHA E ARRUELA DE ALUMINIO PARA ELETRODUTO 3/4""</t>
  </si>
  <si>
    <t>38.06.180</t>
  </si>
  <si>
    <t>Eletroduto galvanizado a quente conforme NBR5598 - 4´ com acessórios</t>
  </si>
  <si>
    <t>46.18.180</t>
  </si>
  <si>
    <t>Curva de 90° em ferro fundido, com flanges, classe PN-10, DN= 100mm</t>
  </si>
  <si>
    <t>CURVA 90 GALVANIZADA 4""</t>
  </si>
  <si>
    <t>38.01.040</t>
  </si>
  <si>
    <t>Eletroduto de PVC rígido roscável de 3/4´ - com acessórios</t>
  </si>
  <si>
    <t>LUVA FERRO GALVANIZADO DIAM. 4""</t>
  </si>
  <si>
    <t>39.10.300</t>
  </si>
  <si>
    <t>Terminal de pressão/compressão para cabo de 240 mm²</t>
  </si>
  <si>
    <t>39.10.280</t>
  </si>
  <si>
    <t>Terminal de pressão/compressão para cabo de 185 mm²</t>
  </si>
  <si>
    <t>36.06.060</t>
  </si>
  <si>
    <t>Terminal modular (mufla) unipolar externo para cabo até 70 mm²/15 kV</t>
  </si>
  <si>
    <t>MASSA PARA CALAFETAR JUNTAS</t>
  </si>
  <si>
    <t>CRUZETA DE CONCRETO PADRAO 2,40M</t>
  </si>
  <si>
    <t>36.20.200</t>
  </si>
  <si>
    <t>Mão francesa de 700 mm</t>
  </si>
  <si>
    <t>36.20.360</t>
  </si>
  <si>
    <t>Suporte de transformador em poste ou estaleiro</t>
  </si>
  <si>
    <t>36.07.050</t>
  </si>
  <si>
    <t>Para-raios de distribuição, classe 15 kV/5 kA, completo, encapsulado com polímero</t>
  </si>
  <si>
    <t>69.20.070</t>
  </si>
  <si>
    <t>Fita em aço inoxidável para poste de 0,50 m x 19 mm, com fecho em aço inoxidável</t>
  </si>
  <si>
    <t>36.03.020</t>
  </si>
  <si>
    <t>Caixa de medição polifásica (500 x 600 x 200) mm, padrão concessionárias</t>
  </si>
  <si>
    <t>36.03.150</t>
  </si>
  <si>
    <t>Caixa de entrada tipo ´E´ (560 x 350 x 210) mm - padrão Concessionárias</t>
  </si>
  <si>
    <t>37.13.660</t>
  </si>
  <si>
    <t>Disjuntor termomagnético, tripolar 220/380 V, corrente de 60 A até 100 A</t>
  </si>
  <si>
    <t>DISPOSITIVO PROTETOR DE SURTO 220V OU 127V, 40 KA, TRIFASICO</t>
  </si>
  <si>
    <t>36.08.290</t>
  </si>
  <si>
    <t>37.04.250</t>
  </si>
  <si>
    <t>Quadro de distribuição universal de sobrepor, para disjuntores 16 DIN / 12 Bolt-on - 150 A - sem componentes</t>
  </si>
  <si>
    <t>37.04.290</t>
  </si>
  <si>
    <t>Quadro de distribuição universal de sobrepor, para disjuntores 56 DIN / 40 Bolt-on - 225 A - sem componentes</t>
  </si>
  <si>
    <t>37.13.780</t>
  </si>
  <si>
    <t>Disjuntor em caixa moldada, térmico e magnético ajustáveis, tripolar 1600/690 V, faixa de ajuste de 1000 até 1600 A</t>
  </si>
  <si>
    <t>37.25.110</t>
  </si>
  <si>
    <t>Disjuntor em caixa moldada tripolar, térmico e magnético fixos, tensão de isolamento 415/690V, de 175A a 250A</t>
  </si>
  <si>
    <t>37.13.900</t>
  </si>
  <si>
    <t>Mini-disjuntor termomagnético, tripolar 220/380 V, corrente de 63 A</t>
  </si>
  <si>
    <t>37.13.600</t>
  </si>
  <si>
    <t>Disjuntor termomagnético, unipolar 127/220 V, corrente de 10 A até 30 A</t>
  </si>
  <si>
    <t>37.25.200</t>
  </si>
  <si>
    <t>Disjuntor em caixa moldada bipolar, térmico e magnético fixos - 480 V, de 10 A a 50 A para 120/240 Vca - 25 KA e para 380/440 Vca - 18 KA</t>
  </si>
  <si>
    <t>37.25.090</t>
  </si>
  <si>
    <t>Disjuntor em caixa moldada tripolar, térmico e magnético fixos, tensão de isolamento 480/690V, de 10A a 60A</t>
  </si>
  <si>
    <t>40.10.500</t>
  </si>
  <si>
    <t>Minicontator auxiliar - 4na</t>
  </si>
  <si>
    <t>46.02.050</t>
  </si>
  <si>
    <t>Tubo de PVC rígido branco PxB com virola e anel de borracha, linha esgoto série normal, DN= 50 mm, inclusive conexões</t>
  </si>
  <si>
    <t>46.02.060</t>
  </si>
  <si>
    <t>Tubo de PVC rígido branco PxB com virola e anel de borracha, linha esgoto série normal, DN= 75 mm, inclusive conexões</t>
  </si>
  <si>
    <t>46.02.070</t>
  </si>
  <si>
    <t>Tubo de PVC rígido branco PxB com virola e anel de borracha, linha esgoto série normal, DN= 100 mm, inclusive conexões</t>
  </si>
  <si>
    <t>49.01.016</t>
  </si>
  <si>
    <t>Caixa sifonada de PVC rígido de 100 x 100 x 50 mm, com grelha</t>
  </si>
  <si>
    <t>PROTEÇÃO PROVISÓRIA DA COBERTURA</t>
  </si>
  <si>
    <t>Caixa em estruura moldada in loco para ETE</t>
  </si>
  <si>
    <t>Estrutura metálica escadas áreas técnicas</t>
  </si>
  <si>
    <t>6.5</t>
  </si>
  <si>
    <t>6.5.1</t>
  </si>
  <si>
    <t>6.5.2</t>
  </si>
  <si>
    <t xml:space="preserve">Estrutura metálica suportes para equipamentos </t>
  </si>
  <si>
    <t>ELEVADORES</t>
  </si>
  <si>
    <t>Elevadores panorâmicos</t>
  </si>
  <si>
    <t>TKE</t>
  </si>
  <si>
    <t>Elevador sem casa de máquinas, modelo Evolution. - Máquina sem engrenagem (Gearless) - Tração direta na polia</t>
  </si>
  <si>
    <t>Alimentadores e entrada de energia</t>
  </si>
  <si>
    <t>Cabine de medição, proteção, seccionamento e transformação composta por cubículos metálicos com grau de proteção IP54, ref.: Eletro Cabines, contendo os seguintes módulos e equipamentos:</t>
  </si>
  <si>
    <t>01 Módulo de Entrada:</t>
  </si>
  <si>
    <t>- 01 Cubículo metálico com dimensões 500x1400x2300mm</t>
  </si>
  <si>
    <t>- 03 pára-raios poliméricos classe 15kV 5kA</t>
  </si>
  <si>
    <t>- 01 suporte para instalação dos pára-raios</t>
  </si>
  <si>
    <t>- 01 suporte para fixação das muflas</t>
  </si>
  <si>
    <t>01 Módulo de Seccionamento Geral:</t>
  </si>
  <si>
    <t>- 01 Cubículo metálico com dimensões 700x1400x2300mm</t>
  </si>
  <si>
    <t>- 01 chave seccionadora tripolar, abertura sob carga, classe 15kV 400A, com dispostivo kirk para intertravamento mecânico</t>
  </si>
  <si>
    <t>01 Módulo de proteção geral:</t>
  </si>
  <si>
    <t>- 01 Cubículo metálico com dimensões 1200x1400x2300mm</t>
  </si>
  <si>
    <t>- 01 disjuntor tripolar 13,8kV a gás SF6, com bobina de abertura, bloqueio mecânico, 630A - 350MVA - 60Hz - 17,5kV</t>
  </si>
  <si>
    <t>- 03 transformadores de corrente classe 15kV, uso interno, 200/5A 10B50 60Hz</t>
  </si>
  <si>
    <t>- 01 transformador de potencial classe 15kV, uso interno, 1000VA - 15kV/115V</t>
  </si>
  <si>
    <t>- 01 quadro contendo o relé de proteção secundária com as funções 50/51, 50N/51N e 74 (Sepan 10 da Schneider) e fonte dupla de alimentação</t>
  </si>
  <si>
    <t>01 Módulo de Seccionamento Transformador</t>
  </si>
  <si>
    <t xml:space="preserve">- 01 chave seccionadora tripolar, abertura sob carga, classe 15kV 400A, com dispostivo kirk para intertravamento mecânico e base para fusível tipo ACR com fusívis de 32A </t>
  </si>
  <si>
    <t>01 Módulo do Transformador</t>
  </si>
  <si>
    <t>- 01 Cubículo metálico com dimensões 1600x2000x2300mm com espaço isolado para passagem de barramento</t>
  </si>
  <si>
    <t>Transformador trifásico a seco de 500kVA, com grau de proteção mínimo IP00, tensão de entrada 13,8kV, impedância de 4,5%, NBI 95kV, fornecido com TAP's  grupo II 13800/13200/12600/12000/11400V, tensão de saída 220/127V, ligação estrela-triângulo com neutro aterrado, diagrama de ligação DYN1, conforme NBR 10295 e NBR 5356, ref.: Romagnole</t>
  </si>
  <si>
    <t>cj</t>
  </si>
  <si>
    <t>Quadros Elétricos</t>
  </si>
  <si>
    <t>Quadros Elétricos - QGD</t>
  </si>
  <si>
    <t>INTERRUPTOR DIFERENCIAL RESIDUAL DR-25A</t>
  </si>
  <si>
    <t>Quadros Elétricos - QGD-BT</t>
  </si>
  <si>
    <t>Quadros Elétricos - QDLF001</t>
  </si>
  <si>
    <t>SOLDA EXOTERMICA COM MOLDE GTB 16Y</t>
  </si>
  <si>
    <t>27.1</t>
  </si>
  <si>
    <t>27.1.1</t>
  </si>
  <si>
    <t>27.1.2</t>
  </si>
  <si>
    <t>28.1</t>
  </si>
  <si>
    <t>28.1.1</t>
  </si>
  <si>
    <t>AndMax</t>
  </si>
  <si>
    <t>Montagem, desmontagem, Art e frete - Escada</t>
  </si>
  <si>
    <t>1.3.4</t>
  </si>
  <si>
    <t>B.01.000.010146</t>
  </si>
  <si>
    <t>PORTA COMPLETA MADEIRA 1 FL.2,50x2,10m CORRER REV.LAMINADO</t>
  </si>
  <si>
    <t>COMPOSIÇÃO</t>
  </si>
  <si>
    <t>15.1.5</t>
  </si>
  <si>
    <t>15.1.6</t>
  </si>
  <si>
    <t>15.1.9</t>
  </si>
  <si>
    <t>15.1.11</t>
  </si>
  <si>
    <t>15.1.12</t>
  </si>
  <si>
    <t>15.1.13</t>
  </si>
  <si>
    <t>CAIXA PASSAGEM-ALVENARIA TIJOLOS-1,04x1,04m-H=1,00m-PAREDE 10cm</t>
  </si>
  <si>
    <t>17.1.1</t>
  </si>
  <si>
    <t>17.1.5</t>
  </si>
  <si>
    <t>17.1.8</t>
  </si>
  <si>
    <t>17.1.9</t>
  </si>
  <si>
    <t>17.1.10</t>
  </si>
  <si>
    <t>17.1.11</t>
  </si>
  <si>
    <t>17.1.12</t>
  </si>
  <si>
    <t>17.1.13</t>
  </si>
  <si>
    <t>17.1.14</t>
  </si>
  <si>
    <t>17.1.15</t>
  </si>
  <si>
    <t>17.1.16</t>
  </si>
  <si>
    <t>17.1.17</t>
  </si>
  <si>
    <t>17.1.18</t>
  </si>
  <si>
    <t>17.1.19</t>
  </si>
  <si>
    <t>17.1.20</t>
  </si>
  <si>
    <t>17.1.21</t>
  </si>
  <si>
    <t>17.1.22</t>
  </si>
  <si>
    <t>17.1.23</t>
  </si>
  <si>
    <t>17.1.24</t>
  </si>
  <si>
    <t>17.1.25</t>
  </si>
  <si>
    <t>17.1.26</t>
  </si>
  <si>
    <t>17.1.27</t>
  </si>
  <si>
    <t>17.1.28</t>
  </si>
  <si>
    <t>17.1.29</t>
  </si>
  <si>
    <t>17.1.30</t>
  </si>
  <si>
    <t>17.1.31</t>
  </si>
  <si>
    <t>17.1.32</t>
  </si>
  <si>
    <t>17.1.33</t>
  </si>
  <si>
    <t>17.1.34</t>
  </si>
  <si>
    <t>17.1.35</t>
  </si>
  <si>
    <t>17.1.36</t>
  </si>
  <si>
    <t>17.1.37</t>
  </si>
  <si>
    <t>17.1.38</t>
  </si>
  <si>
    <t>17.1.39</t>
  </si>
  <si>
    <t>17.1.40</t>
  </si>
  <si>
    <t>17.1.41</t>
  </si>
  <si>
    <t>17.1.42</t>
  </si>
  <si>
    <t>17.1.43</t>
  </si>
  <si>
    <t>17.1.44</t>
  </si>
  <si>
    <t>17.1.45</t>
  </si>
  <si>
    <t>17.1.46</t>
  </si>
  <si>
    <t>17.1.47</t>
  </si>
  <si>
    <t>17.1.48</t>
  </si>
  <si>
    <t>17.1.49</t>
  </si>
  <si>
    <t>Tampão em ferro fundido de 800 x 800 mm, classe B 125 (ruptura &gt; 125 kN)</t>
  </si>
  <si>
    <t>18.3.7</t>
  </si>
  <si>
    <t>18.3.8</t>
  </si>
  <si>
    <t>Revestimento em Piso linóleo - Cabine dos elevadores</t>
  </si>
  <si>
    <t>Piso cimentado com resina acrílica</t>
  </si>
  <si>
    <t>17.4.1.1</t>
  </si>
  <si>
    <t>17.4.1.2</t>
  </si>
  <si>
    <t>17.4.2.1</t>
  </si>
  <si>
    <t>17.4.2.2</t>
  </si>
  <si>
    <t>17.4.2.3</t>
  </si>
  <si>
    <t>17.4.2.4</t>
  </si>
  <si>
    <t>17.4.2.5</t>
  </si>
  <si>
    <t>17.4.3.1</t>
  </si>
  <si>
    <t>17.4.3.2</t>
  </si>
  <si>
    <t>17.4.3.3</t>
  </si>
  <si>
    <t>17.4.3.4</t>
  </si>
  <si>
    <t>17.4.3.5</t>
  </si>
  <si>
    <t>17.4.3.6</t>
  </si>
  <si>
    <t>17.4.3.7</t>
  </si>
  <si>
    <t>17.4.3.8</t>
  </si>
  <si>
    <t>Estação de tratamento (fossa séptica + filtro aeróbio ref: Belluno Fibras), sistema de fossa BLF0110 (11.000L) atende ao MAB</t>
  </si>
  <si>
    <t>Bases de Revestimento em cimentado</t>
  </si>
  <si>
    <t>22.2.2</t>
  </si>
  <si>
    <t>22.2.3</t>
  </si>
  <si>
    <t>22.2.4</t>
  </si>
  <si>
    <t>Belluno</t>
  </si>
  <si>
    <t xml:space="preserve">Retirada em instalação elétrica </t>
  </si>
  <si>
    <t>Retirada de bancadas e louças</t>
  </si>
  <si>
    <t>ASSENTO PARA VASO SANITARIO (TARGA/IZY/RAVENA/STUDIO SLOW)</t>
  </si>
  <si>
    <t>ASSENTO PARA VASO LINHA VOGUE CONFORTO PCD</t>
  </si>
  <si>
    <t>28.1.2</t>
  </si>
  <si>
    <t>CDHU-INS</t>
  </si>
  <si>
    <t>Limpeza permanente da obra</t>
  </si>
  <si>
    <t>28.1.3</t>
  </si>
  <si>
    <t>28.1.4</t>
  </si>
  <si>
    <t>CONJUNTO PORTA CORTA FOGO - CLASSE P90 - C/ BATENTE P/ ALVENARIA - MOD. DUPLO - MED. ESPECIAL 2300X2100 mm - CERTIF PELA ABNT NBR 11742 - ACAB GALVANIZADO C/ 3 DOBRADIÇA C/REFORÇO P/ BARRA</t>
  </si>
  <si>
    <t>CONJUNTO PORTA CORTA FOGO - CLASSE P90 - DE CORRER C/ BATENTE P/ ALVENARIA - MOD. DUPLO - MED. ESPECIAL 2300X2100 mm - CERTIF PELA ABNT NBR 11742 - ACAB GALVANIZADO C/ 3 DOBRADIÇA C/ REFORÇO P/ BARRA</t>
  </si>
  <si>
    <t>5.4</t>
  </si>
  <si>
    <t>5.4.1</t>
  </si>
  <si>
    <t>5.4.2</t>
  </si>
  <si>
    <t>5.4.3</t>
  </si>
  <si>
    <t>5.4.4</t>
  </si>
  <si>
    <t>5.5</t>
  </si>
  <si>
    <t>5.5.1</t>
  </si>
  <si>
    <t>5.5.2</t>
  </si>
  <si>
    <t>5.5.3</t>
  </si>
  <si>
    <t>5.5.4</t>
  </si>
  <si>
    <t>PROTEÇÃO IMPERMEABILIZANTE DA LAJE DE COBERTURA</t>
  </si>
  <si>
    <t>12.2</t>
  </si>
  <si>
    <t>12.2.1</t>
  </si>
  <si>
    <t>13.1.1</t>
  </si>
  <si>
    <t>13.1.3</t>
  </si>
  <si>
    <t>13.1.4</t>
  </si>
  <si>
    <t>13.1.5</t>
  </si>
  <si>
    <t>13.1.6</t>
  </si>
  <si>
    <t>13.1.7</t>
  </si>
  <si>
    <t>13.1.8</t>
  </si>
  <si>
    <t>13.1.9</t>
  </si>
  <si>
    <t>13.1.10</t>
  </si>
  <si>
    <t>13.1.11</t>
  </si>
  <si>
    <t>13.1.12</t>
  </si>
  <si>
    <t>13.1.13</t>
  </si>
  <si>
    <t>14.1</t>
  </si>
  <si>
    <t>14.1.8</t>
  </si>
  <si>
    <t>14.1.9</t>
  </si>
  <si>
    <t>14.1.10</t>
  </si>
  <si>
    <t>14.1.11</t>
  </si>
  <si>
    <t>14.1.12</t>
  </si>
  <si>
    <t>14.1.13</t>
  </si>
  <si>
    <t>14.1.14</t>
  </si>
  <si>
    <t>14.1.15</t>
  </si>
  <si>
    <t>14.1.16</t>
  </si>
  <si>
    <t>14.1.18</t>
  </si>
  <si>
    <t>14.1.19</t>
  </si>
  <si>
    <t>14.1.20</t>
  </si>
  <si>
    <t>14.1.21</t>
  </si>
  <si>
    <t>14.1.22</t>
  </si>
  <si>
    <t>14.1.23</t>
  </si>
  <si>
    <t>14.1.24</t>
  </si>
  <si>
    <t>14.1.25</t>
  </si>
  <si>
    <t>14.1.26</t>
  </si>
  <si>
    <t>14.1.27</t>
  </si>
  <si>
    <t>14.1.28</t>
  </si>
  <si>
    <t>14.1.29</t>
  </si>
  <si>
    <t>14.1.30</t>
  </si>
  <si>
    <t>14.1.31</t>
  </si>
  <si>
    <t>14.1.32</t>
  </si>
  <si>
    <t>14.1.33</t>
  </si>
  <si>
    <t>14.1.34</t>
  </si>
  <si>
    <t>14.1.35</t>
  </si>
  <si>
    <t>14.1.36</t>
  </si>
  <si>
    <t>14.1.37</t>
  </si>
  <si>
    <t>14.1.38</t>
  </si>
  <si>
    <t>14.1.39</t>
  </si>
  <si>
    <t>14.1.40</t>
  </si>
  <si>
    <t>14.1.41</t>
  </si>
  <si>
    <t>14.1.42</t>
  </si>
  <si>
    <t>14.1.43</t>
  </si>
  <si>
    <t>14.1.44</t>
  </si>
  <si>
    <t>14.1.45</t>
  </si>
  <si>
    <t>14.1.46</t>
  </si>
  <si>
    <t>14.1.47</t>
  </si>
  <si>
    <t>14.1.48</t>
  </si>
  <si>
    <t>14.1.49</t>
  </si>
  <si>
    <t>14.2.1.1</t>
  </si>
  <si>
    <t>14.2.1.2</t>
  </si>
  <si>
    <t>14.2.2</t>
  </si>
  <si>
    <t>14.2.2.1</t>
  </si>
  <si>
    <t>14.2.2.2</t>
  </si>
  <si>
    <t>14.2.2.3</t>
  </si>
  <si>
    <t>14.2.2.4</t>
  </si>
  <si>
    <t>14.2.2.5</t>
  </si>
  <si>
    <t>14.2.3</t>
  </si>
  <si>
    <t>14.2.3.1</t>
  </si>
  <si>
    <t>14.2.3.2</t>
  </si>
  <si>
    <t>14.2.3.3</t>
  </si>
  <si>
    <t>14.2.3.4</t>
  </si>
  <si>
    <t>14.2.3.5</t>
  </si>
  <si>
    <t>14.2.3.6</t>
  </si>
  <si>
    <t>14.2.3.7</t>
  </si>
  <si>
    <t>14.2.3.8</t>
  </si>
  <si>
    <t>15.2</t>
  </si>
  <si>
    <t>15.2.1</t>
  </si>
  <si>
    <t>15.2.2</t>
  </si>
  <si>
    <t>15.2.3</t>
  </si>
  <si>
    <t>15.2.4</t>
  </si>
  <si>
    <t>15.2.5</t>
  </si>
  <si>
    <t>15.2.6</t>
  </si>
  <si>
    <t>15.2.7</t>
  </si>
  <si>
    <t>15.2.8</t>
  </si>
  <si>
    <t>15.2.9</t>
  </si>
  <si>
    <t>15.3</t>
  </si>
  <si>
    <t>15.3.1</t>
  </si>
  <si>
    <t>15.3.2</t>
  </si>
  <si>
    <t>15.3.3</t>
  </si>
  <si>
    <t>15.3.4</t>
  </si>
  <si>
    <t>15.3.5</t>
  </si>
  <si>
    <t>15.3.6</t>
  </si>
  <si>
    <t>15.3.7</t>
  </si>
  <si>
    <t>15.3.8</t>
  </si>
  <si>
    <t>15.4</t>
  </si>
  <si>
    <t>15.4.1</t>
  </si>
  <si>
    <t>15.4.2</t>
  </si>
  <si>
    <t>15.4.3</t>
  </si>
  <si>
    <t>15.4.4</t>
  </si>
  <si>
    <t>15.4.5</t>
  </si>
  <si>
    <t>15.5</t>
  </si>
  <si>
    <t>15.5.1</t>
  </si>
  <si>
    <t>15.5.2</t>
  </si>
  <si>
    <t>15.5.3</t>
  </si>
  <si>
    <t>15.5.4</t>
  </si>
  <si>
    <t>15.5.5</t>
  </si>
  <si>
    <t>15.5.6</t>
  </si>
  <si>
    <t>15.5.7</t>
  </si>
  <si>
    <t>15.5.8</t>
  </si>
  <si>
    <t>15.5.9</t>
  </si>
  <si>
    <t>15.5.11</t>
  </si>
  <si>
    <t>15.5.12</t>
  </si>
  <si>
    <t>15.5.13</t>
  </si>
  <si>
    <t>15.6</t>
  </si>
  <si>
    <t>15.6.1</t>
  </si>
  <si>
    <t>15.6.2</t>
  </si>
  <si>
    <t>15.6.3</t>
  </si>
  <si>
    <t>15.6.4</t>
  </si>
  <si>
    <t>15.6.5</t>
  </si>
  <si>
    <t>16.2</t>
  </si>
  <si>
    <t>16.2.1</t>
  </si>
  <si>
    <t>16.2.2</t>
  </si>
  <si>
    <t>16.2.3</t>
  </si>
  <si>
    <t>16.2.4</t>
  </si>
  <si>
    <t>16.2.5</t>
  </si>
  <si>
    <t>16.2.6</t>
  </si>
  <si>
    <t>16.2.7</t>
  </si>
  <si>
    <t>16.2.8</t>
  </si>
  <si>
    <t>16.2.9</t>
  </si>
  <si>
    <t>16.2.10</t>
  </si>
  <si>
    <t>16.2.11</t>
  </si>
  <si>
    <t>16.2.12</t>
  </si>
  <si>
    <t>16.2.13</t>
  </si>
  <si>
    <t>16.2.14</t>
  </si>
  <si>
    <t>16.2.15</t>
  </si>
  <si>
    <t>16.2.16</t>
  </si>
  <si>
    <t>16.3</t>
  </si>
  <si>
    <t>16.3.1</t>
  </si>
  <si>
    <t>16.3.2</t>
  </si>
  <si>
    <t>16.3.3</t>
  </si>
  <si>
    <t>16.4</t>
  </si>
  <si>
    <t>16.4.1</t>
  </si>
  <si>
    <t>16.4.2</t>
  </si>
  <si>
    <t>18.1.1</t>
  </si>
  <si>
    <t>20.2</t>
  </si>
  <si>
    <t>20.2.1</t>
  </si>
  <si>
    <t>20.2.2</t>
  </si>
  <si>
    <t>20.2.3</t>
  </si>
  <si>
    <t>20.2.4</t>
  </si>
  <si>
    <t>20.3</t>
  </si>
  <si>
    <t>20.3.1</t>
  </si>
  <si>
    <t>20.3.2</t>
  </si>
  <si>
    <t>21.1.3</t>
  </si>
  <si>
    <t>21.1.4</t>
  </si>
  <si>
    <t>21.1.5</t>
  </si>
  <si>
    <t>21.1.6</t>
  </si>
  <si>
    <t>21.1.7</t>
  </si>
  <si>
    <t>21.1.8</t>
  </si>
  <si>
    <t>23.1.1</t>
  </si>
  <si>
    <t>23.1.2</t>
  </si>
  <si>
    <t>23.1.3</t>
  </si>
  <si>
    <t>24.1.2</t>
  </si>
  <si>
    <t>24.1.3</t>
  </si>
  <si>
    <t>24.1.4</t>
  </si>
  <si>
    <t>10.1</t>
  </si>
  <si>
    <t>10.1.1</t>
  </si>
  <si>
    <t>10.1.2</t>
  </si>
  <si>
    <t>10.1.3</t>
  </si>
  <si>
    <t>10.1.4</t>
  </si>
  <si>
    <t>10.1.5</t>
  </si>
  <si>
    <t>10.1.6</t>
  </si>
  <si>
    <t>10.1.7</t>
  </si>
  <si>
    <t>140</t>
  </si>
  <si>
    <t>Limpeza complementar e especial de piso com produtos quimicos e aspiração</t>
  </si>
  <si>
    <t>23.1.4</t>
  </si>
  <si>
    <t>TÉCNICO DE SEGURANÇA</t>
  </si>
  <si>
    <t>PROJETO DE REFORMA - MUSEU AFRO BRASIL</t>
  </si>
  <si>
    <t>MAB IBIRAPUERA</t>
  </si>
  <si>
    <t>OBSERVAÇÃO:</t>
  </si>
  <si>
    <t xml:space="preserve">  CASO NÃO CONCORDEM, ACRESCENTAR UMA NOVA COLUNA COM QUANTITATIVOS QUE ACHAREM NECESSÁRIO PARA CONCLUIR A OBRA</t>
  </si>
  <si>
    <t xml:space="preserve">  SEGUEM PLANILHA COM OS QUANTITATIVOS SE ACEITAREM ESTÃO CONCORDANDO E NÃO PODERÃO SER ALTERADOS NO DECORRER DA OBRA.</t>
  </si>
  <si>
    <t>4.2.12</t>
  </si>
  <si>
    <t>Armadura em barra de aço CA-50 fyk = 500 MPa</t>
  </si>
  <si>
    <t>Armadura em barra de aço CA-60 fyk = 600 MPa</t>
  </si>
  <si>
    <t>Armadura em Tela Eletrosoldada de aço Q61 - CA-60 fyk = 600 MPa</t>
  </si>
  <si>
    <t>Armadura em Tela Eletrosoldada de aço Q75 - CA-60 fyk = 600 MPa</t>
  </si>
  <si>
    <t>Concreto usinado, fck = 30 MPa Slump 12+-2cm</t>
  </si>
  <si>
    <t>Espaçadores plásticos</t>
  </si>
  <si>
    <t>Lajes Pré-fabricadas Treliçada (Calha) - LT 12 (8+4) - SBC: 300 kg/m²</t>
  </si>
  <si>
    <t>Lajes Pré-fabricadas Treliçada (Passadiço) - LT 12 (8+4) - SBC: 500 kg/m²</t>
  </si>
  <si>
    <t>Escoramento para Laje Pré-Fabricada (2 filas por vão)</t>
  </si>
  <si>
    <t>Chumbamento de esperas em estruturas existentes (ver indicação projeto)</t>
  </si>
  <si>
    <t>Junta de Dilatação conforme o Detalhe 5 do projeto</t>
  </si>
  <si>
    <t>Aparelho de Apoio em Neoprene Não fretado (Largura= 100mm e Espessura = 10mm). Dureza= 60 + ou - 5 Shore A.</t>
  </si>
  <si>
    <t xml:space="preserve">Regularização de Laje 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</si>
  <si>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</si>
  <si>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</si>
  <si>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</si>
  <si>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</si>
  <si>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</si>
  <si>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</si>
  <si>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</si>
  <si>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</si>
  <si>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</si>
  <si>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</si>
  <si>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</si>
  <si>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 xml:space="preserve">Estrutura moldada in loco - Calhas e passadiços da cobertura </t>
  </si>
  <si>
    <t>Un</t>
  </si>
  <si>
    <t>ml</t>
  </si>
  <si>
    <t>VB</t>
  </si>
  <si>
    <t>Argamassa de proteção (e= 4cm)</t>
  </si>
  <si>
    <t>PRESSURIZADOR 01 Q = 5M3/H P = 15MCA</t>
  </si>
  <si>
    <t>BOMBA ESTAÇÃO ELEVATÓRIA EE-01 + CONJUNTO DE VÁLVULAS Q = 2M3/H P = 4MCA</t>
  </si>
  <si>
    <t>BOMBA ESTAÇÃO ELEVATÓRIA EE-02 + CONJUNTO DE VÁLVULAS Q = 3M3/H P = 6MCA</t>
  </si>
  <si>
    <t>15.6.6</t>
  </si>
  <si>
    <t>BOMBA ESTAÇÃO ELEVATÓRIA PLUVIAL + CONJUNTO DE VÁLVULAS Q = 3M3/H P = 6MCA</t>
  </si>
  <si>
    <t>Telhamento em telha superior 0,65mm - AT 100/950 - Galvalume - face superior na cor branca e telha inferior 0,65mm - AT 100/950 - Galvalume na cor branca inferior, injeção de PU com 50mm de preenchimento</t>
  </si>
  <si>
    <t>Cumeeira em chapa de aço pré pintada com epoxi e poliester, perfil ondulado, com espessura de 0,50 mm</t>
  </si>
  <si>
    <t>GRUPO GERADOR TRIFÁSICO, COM POTÊNCIA PRIME DE 455KW E 500KVA, VERSÃO ABERTA COM GRAU DE PROTEÇÃO IP 00, FORNECIDO COM ATENUADORES DE ENTRADA E SAÍDA E PORTA DE ENTRADA DA SALA E CHAVE DE TRANSFERÊNCIA PARA 1400A, COM TENSÃO DE SAÍDA 220/127V, REF.: MODELO TAD1345GE-B 500kVA - STEMAC</t>
  </si>
  <si>
    <t>TRANSFORMADOR TRIFÁSICO A SECO DE 500KVA, COM GRAU DE PROTEÇÃO MÍNIMO IP00, TENSÃO DE ENTRADA 13,8KV, IMPEDÂNCIA DE 4,5%, NBI 95KV, FORNECIDO COM TAP'S  GRUPO II 13800/13200/12600/12000/11400V, TENSÃO DE SAÍDA 220/127V, LIGAÇÃO ESTRELA-TRIÂNGULO COM NEUTRO ATERRADO, DIAGRAMA DE LIGAÇÃO DYN1, CONFORME NBR 10295 E NBR 5356, REF.: ROMAGNOLE</t>
  </si>
  <si>
    <t>14.1.17</t>
  </si>
  <si>
    <t>14.1.50</t>
  </si>
  <si>
    <t>Estação de tratamento (fossa séptica + filtro aeróbio ref.: Belluno Fibras), sistema de fossa BLF0110 (11.000L) atende ao MAB</t>
  </si>
  <si>
    <t>Bacia sifonada com caixa de descarga acoplada sem tampa - 6 litros</t>
  </si>
  <si>
    <t>Bacia sifonada com caixa de descarga acoplada sem tampa - 6 litros- reaproveitada - somenteinstalação e assessórios</t>
  </si>
  <si>
    <t>Lavatório de louça para canto, com coluna suspensa - linha especial</t>
  </si>
  <si>
    <t>Barra de apoioreta em aço inox polido, comprimento 80 cm, fixado na parede - Fornecimento e instalação AF 01/2020</t>
  </si>
  <si>
    <t>Barra de apoio para lavatório, tres lados, fixa, emaço inox, I=40 x 60 cm, d=11/4", Jackwall ou similar</t>
  </si>
  <si>
    <t>15.3.9</t>
  </si>
  <si>
    <t>15.3.10</t>
  </si>
  <si>
    <t>3.2.3</t>
  </si>
  <si>
    <t>3.2.4</t>
  </si>
  <si>
    <t>3.2.5</t>
  </si>
  <si>
    <t>3.2.6</t>
  </si>
  <si>
    <t>Corte em piso de concreto nivel -4,30m</t>
  </si>
  <si>
    <t>Corte em piso de concreto nivel +0,00m</t>
  </si>
  <si>
    <t>Corte em laje nervurada mesa dupla de concreto armado nivel +4,75m</t>
  </si>
  <si>
    <t>Corte em piso de concreto nivel Cobertura</t>
  </si>
  <si>
    <t>Armadura em barra de aço CA-50 (A ou B) fyk = 600 MPa</t>
  </si>
  <si>
    <t>4.2.13</t>
  </si>
  <si>
    <t>4.2.14</t>
  </si>
  <si>
    <t>4,4,1</t>
  </si>
  <si>
    <t>4,4,2</t>
  </si>
  <si>
    <t>4,4,3</t>
  </si>
  <si>
    <t>4,4,4</t>
  </si>
  <si>
    <t>4,4,5</t>
  </si>
  <si>
    <t>4,4,6</t>
  </si>
  <si>
    <t>4,4,7</t>
  </si>
  <si>
    <t>4,4,8</t>
  </si>
  <si>
    <t>4,4,9</t>
  </si>
  <si>
    <t>4,4,10</t>
  </si>
  <si>
    <t>4,4,11</t>
  </si>
  <si>
    <t>4,4,12</t>
  </si>
  <si>
    <t>4,4,13</t>
  </si>
  <si>
    <t>Impermeabilizacao flexivel com manta - calha e passadiço</t>
  </si>
  <si>
    <t>argamassa de regularização</t>
  </si>
  <si>
    <t>8.4</t>
  </si>
  <si>
    <t>8.4.1</t>
  </si>
  <si>
    <t>Junta de dilatação</t>
  </si>
  <si>
    <t>Perfil de acabamento com borracha temoplática vulcanizada continua e flexivel, para junta de dilatação de embutir - piso-piso</t>
  </si>
  <si>
    <t>Tela de nylon tipo mosquiteiro com moldura de aluminio anodizado natural</t>
  </si>
  <si>
    <t>ESTAÇÃO ELEVATÓRIA EE-02 - Q= 3m³/h - P= 6m.c.a</t>
  </si>
  <si>
    <t>UM</t>
  </si>
  <si>
    <t>4.2.15</t>
  </si>
  <si>
    <t>4.2.16</t>
  </si>
  <si>
    <t>Divisória sanitária, tipo cabine, em marmore branco polido, esp = 3cm, assentado com argamassa colante ACII-E, exclusive ferragens</t>
  </si>
  <si>
    <t>Elevador panorâmico cabine tipo Pan.'A' New Export Abrig - 16 passageiros e com acessiibilidade</t>
  </si>
</sst>
</file>

<file path=xl/styles.xml><?xml version="1.0" encoding="utf-8"?>
<styleSheet xmlns="http://schemas.openxmlformats.org/spreadsheetml/2006/main">
  <numFmts count="67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(* #,##0_);_(* \(#,##0\);_(* &quot;-&quot;_);_(@_)"/>
    <numFmt numFmtId="171" formatCode="_(&quot;R$ &quot;* #,##0.00_);_(&quot;R$ &quot;* \(#,##0.00\);_(&quot;R$ &quot;* &quot;-&quot;??_);_(@_)"/>
    <numFmt numFmtId="172" formatCode="_(* #,##0.00_);_(* \(#,##0.00\);_(* &quot;-&quot;??_);_(@_)"/>
    <numFmt numFmtId="173" formatCode="_(&quot;R$&quot;* #,##0.00_);_(&quot;R$&quot;* \(#,##0.00\);_(&quot;R$&quot;* &quot;-&quot;??_);_(@_)"/>
    <numFmt numFmtId="174" formatCode="_ * #,##0_ ;_ * \-#,##0_ ;_ * &quot;-&quot;_ ;_ @_ "/>
    <numFmt numFmtId="175" formatCode="_ * #,##0.00_ ;_ * \-#,##0.00_ ;_ * &quot;-&quot;??_ ;_ @_ "/>
    <numFmt numFmtId="176" formatCode="_ &quot;R$&quot;\ * #,##0_ ;_ &quot;R$&quot;\ * \-#,##0_ ;_ &quot;R$&quot;\ * &quot;-&quot;_ ;_ @_ "/>
    <numFmt numFmtId="177" formatCode="_ &quot;R$&quot;\ * #,##0.00_ ;_ &quot;R$&quot;\ * \-#,##0.00_ ;_ &quot;R$&quot;\ * &quot;-&quot;??_ ;_ @_ "/>
    <numFmt numFmtId="178" formatCode="#,##0.0"/>
    <numFmt numFmtId="179" formatCode="0.0"/>
    <numFmt numFmtId="180" formatCode="_(* #,##0.00_);_(* \(#,##0.00\);_(* &quot;-&quot;_);_(@_)"/>
    <numFmt numFmtId="181" formatCode="0.000"/>
    <numFmt numFmtId="182" formatCode="#,##0.00_ ;\-#,##0.00\ "/>
    <numFmt numFmtId="183" formatCode="00000"/>
    <numFmt numFmtId="184" formatCode="&quot;R$&quot;\ #,##0.00"/>
    <numFmt numFmtId="185" formatCode="_([$€]* #,##0.00_);_([$€]* \(#,##0.00\);_([$€]* &quot;-&quot;??_);_(@_)"/>
    <numFmt numFmtId="186" formatCode="_([$€-2]* #,##0.00_);_([$€-2]* \(#,##0.00\);_([$€-2]* &quot;-&quot;??_)"/>
    <numFmt numFmtId="187" formatCode="#,##0.00&quot; &quot;;&quot; (&quot;#,##0.00&quot;)&quot;;&quot; -&quot;#&quot; &quot;;@&quot; &quot;"/>
    <numFmt numFmtId="188" formatCode="#,##0.00&quot; &quot;;&quot;-&quot;#,##0.00&quot; &quot;;&quot; -&quot;#&quot; &quot;;@&quot; &quot;"/>
    <numFmt numFmtId="189" formatCode="[$R$-416]&quot; &quot;#,##0.00;[Red]&quot;-&quot;[$R$-416]&quot; &quot;#,##0.00"/>
    <numFmt numFmtId="190" formatCode="#,##0.00\ ;&quot; (&quot;#,##0.00\);&quot; -&quot;#\ ;@\ "/>
    <numFmt numFmtId="191" formatCode="#,##0.000000000;\-#,##0.000000000"/>
    <numFmt numFmtId="192" formatCode="00\-00\-00"/>
    <numFmt numFmtId="193" formatCode="[$-416]dddd\,\ d&quot; de &quot;mmmm&quot; de &quot;yyyy"/>
    <numFmt numFmtId="194" formatCode="_ * #,##0.0_ ;_ * \-#,##0.0_ ;_ * &quot;-&quot;??_ ;_ @_ "/>
    <numFmt numFmtId="195" formatCode="_ * #,##0.000_ ;_ * \-#,##0.000_ ;_ * &quot;-&quot;??_ ;_ @_ "/>
    <numFmt numFmtId="196" formatCode="_ * #,##0.0000_ ;_ * \-#,##0.0000_ ;_ * &quot;-&quot;??_ ;_ @_ "/>
    <numFmt numFmtId="197" formatCode="0.0%"/>
    <numFmt numFmtId="198" formatCode="_-* #,##0.0000_-;\-* #,##0.0000_-;_-* &quot;-&quot;??_-;_-@_-"/>
    <numFmt numFmtId="199" formatCode="_ * #,##0_ ;_ * \-#,##0_ ;_ * &quot;-&quot;??_ ;_ @_ "/>
    <numFmt numFmtId="200" formatCode="_-* #,##0.000_-;\-* #,##0.000_-;_-* &quot;-&quot;??_-;_-@_-"/>
    <numFmt numFmtId="201" formatCode="_-* #,##0.0_-;\-* #,##0.0_-;_-* &quot;-&quot;??_-;_-@_-"/>
    <numFmt numFmtId="202" formatCode="_-* #,##0_-;\-* #,##0_-;_-* &quot;-&quot;??_-;_-@_-"/>
    <numFmt numFmtId="203" formatCode="#,##0.00\ %"/>
    <numFmt numFmtId="204" formatCode="_(* #,##0_);_(* \(#,##0\);_(* &quot;-&quot;??_);_(@_)"/>
    <numFmt numFmtId="205" formatCode="&quot;R$&quot;#,##0.00"/>
    <numFmt numFmtId="206" formatCode="_-* #,##0.00_-;\-* #,##0.00_-;_-* \-??_-;_-@_-"/>
    <numFmt numFmtId="207" formatCode="_-* #,##0_-;\-* #,##0_-;_-* \-_-;_-@_-"/>
    <numFmt numFmtId="208" formatCode="000000"/>
    <numFmt numFmtId="209" formatCode="_-* #,##0.0000_-;\-* #,##0.0000_-;_-* &quot;-&quot;????_-;_-@_-"/>
    <numFmt numFmtId="210" formatCode="_(&quot;R$ &quot;* #,##0_);_(&quot;R$ &quot;* \(#,##0\);_(&quot;R$ &quot;* &quot;-&quot;_);_(@_)"/>
    <numFmt numFmtId="211" formatCode="0.0000"/>
    <numFmt numFmtId="212" formatCode="0.00000"/>
    <numFmt numFmtId="213" formatCode="&quot;Sim&quot;;&quot;Sim&quot;;&quot;Não&quot;"/>
    <numFmt numFmtId="214" formatCode="&quot;Verdadeiro&quot;;&quot;Verdadeiro&quot;;&quot;Falso&quot;"/>
    <numFmt numFmtId="215" formatCode="&quot;Ativado&quot;;&quot;Ativado&quot;;&quot;Desativado&quot;"/>
    <numFmt numFmtId="216" formatCode="[$€-2]\ #,##0.00_);[Red]\([$€-2]\ #,##0.00\)"/>
    <numFmt numFmtId="217" formatCode="dd/mm/yy;@"/>
    <numFmt numFmtId="218" formatCode="[$-416]d\-mmm;@"/>
    <numFmt numFmtId="219" formatCode="mmmm\,\ yyyy;@"/>
    <numFmt numFmtId="220" formatCode="#,##0.0000000"/>
    <numFmt numFmtId="221" formatCode="0.000000"/>
    <numFmt numFmtId="222" formatCode="0.0000000"/>
  </numFmts>
  <fonts count="128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3"/>
      <color indexed="56"/>
      <name val="Calibri"/>
      <family val="2"/>
    </font>
    <font>
      <sz val="12"/>
      <name val="Times New Roman"/>
      <family val="1"/>
    </font>
    <font>
      <sz val="11"/>
      <color indexed="8"/>
      <name val="Arial"/>
      <family val="2"/>
    </font>
    <font>
      <sz val="1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2"/>
      <color indexed="51"/>
      <name val="Arial"/>
      <family val="2"/>
    </font>
    <font>
      <sz val="12"/>
      <color indexed="51"/>
      <name val="Arial"/>
      <family val="2"/>
    </font>
    <font>
      <sz val="12"/>
      <color indexed="61"/>
      <name val="Arial"/>
      <family val="2"/>
    </font>
    <font>
      <sz val="12"/>
      <color indexed="59"/>
      <name val="Arial"/>
      <family val="2"/>
    </font>
    <font>
      <b/>
      <sz val="12"/>
      <color indexed="62"/>
      <name val="Arial"/>
      <family val="2"/>
    </font>
    <font>
      <b/>
      <sz val="15"/>
      <color indexed="61"/>
      <name val="Arial"/>
      <family val="2"/>
    </font>
    <font>
      <b/>
      <sz val="13"/>
      <color indexed="61"/>
      <name val="Arial"/>
      <family val="2"/>
    </font>
    <font>
      <b/>
      <sz val="11"/>
      <color indexed="61"/>
      <name val="Arial"/>
      <family val="2"/>
    </font>
    <font>
      <sz val="11"/>
      <color indexed="51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sz val="10"/>
      <name val="MS Sans Serif"/>
      <family val="2"/>
    </font>
    <font>
      <b/>
      <sz val="12"/>
      <color indexed="8"/>
      <name val="Arial"/>
      <family val="2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1"/>
      <family val="0"/>
    </font>
    <font>
      <sz val="12"/>
      <color indexed="8"/>
      <name val="Calibri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1"/>
      <color indexed="51"/>
      <name val="Calibri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1"/>
      <color indexed="61"/>
      <name val="Calibri"/>
      <family val="2"/>
    </font>
    <font>
      <sz val="12"/>
      <color indexed="62"/>
      <name val="Arial"/>
      <family val="2"/>
    </font>
    <font>
      <b/>
      <i/>
      <sz val="16"/>
      <color indexed="8"/>
      <name val="Arial"/>
      <family val="2"/>
    </font>
    <font>
      <b/>
      <i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1"/>
      <color indexed="59"/>
      <name val="Calibri"/>
      <family val="2"/>
    </font>
    <font>
      <sz val="10"/>
      <color indexed="8"/>
      <name val="Calibri"/>
      <family val="2"/>
    </font>
    <font>
      <b/>
      <i/>
      <u val="single"/>
      <sz val="11"/>
      <color indexed="8"/>
      <name val="Arial"/>
      <family val="2"/>
    </font>
    <font>
      <b/>
      <i/>
      <u val="single"/>
      <sz val="11"/>
      <color indexed="8"/>
      <name val="Calibri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3"/>
      <color indexed="62"/>
      <name val="Calibri"/>
      <family val="2"/>
    </font>
    <font>
      <b/>
      <sz val="13"/>
      <color indexed="61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0"/>
      <color rgb="FF000000"/>
      <name val="Arial1"/>
      <family val="0"/>
    </font>
    <font>
      <sz val="12"/>
      <color theme="1"/>
      <name val="Arial"/>
      <family val="2"/>
    </font>
    <font>
      <sz val="12"/>
      <color theme="1"/>
      <name val="Calibri"/>
      <family val="2"/>
    </font>
    <font>
      <sz val="11"/>
      <color theme="0"/>
      <name val="Calibri"/>
      <family val="2"/>
    </font>
    <font>
      <sz val="12"/>
      <color theme="0"/>
      <name val="Arial"/>
      <family val="2"/>
    </font>
    <font>
      <sz val="11"/>
      <color rgb="FF006100"/>
      <name val="Calibri"/>
      <family val="2"/>
    </font>
    <font>
      <sz val="12"/>
      <color rgb="FF006100"/>
      <name val="Arial"/>
      <family val="2"/>
    </font>
    <font>
      <b/>
      <sz val="11"/>
      <color rgb="FFFA7D00"/>
      <name val="Calibri"/>
      <family val="2"/>
    </font>
    <font>
      <b/>
      <sz val="12"/>
      <color rgb="FFFA7D00"/>
      <name val="Arial"/>
      <family val="2"/>
    </font>
    <font>
      <b/>
      <sz val="11"/>
      <color theme="0"/>
      <name val="Calibri"/>
      <family val="2"/>
    </font>
    <font>
      <b/>
      <sz val="12"/>
      <color theme="0"/>
      <name val="Arial"/>
      <family val="2"/>
    </font>
    <font>
      <sz val="11"/>
      <color rgb="FFFA7D00"/>
      <name val="Calibri"/>
      <family val="2"/>
    </font>
    <font>
      <sz val="12"/>
      <color rgb="FFFA7D00"/>
      <name val="Arial"/>
      <family val="2"/>
    </font>
    <font>
      <sz val="11"/>
      <color rgb="FF3F3F76"/>
      <name val="Calibri"/>
      <family val="2"/>
    </font>
    <font>
      <sz val="12"/>
      <color rgb="FF3F3F76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sz val="16"/>
      <color rgb="FF000000"/>
      <name val="Calibri"/>
      <family val="2"/>
    </font>
    <font>
      <u val="single"/>
      <sz val="11"/>
      <color theme="10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0"/>
      <color theme="1"/>
      <name val="Calibri"/>
      <family val="2"/>
    </font>
    <font>
      <b/>
      <i/>
      <u val="single"/>
      <sz val="11"/>
      <color rgb="FF000000"/>
      <name val="Arial"/>
      <family val="2"/>
    </font>
    <font>
      <b/>
      <i/>
      <u val="single"/>
      <sz val="11"/>
      <color rgb="FF0000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2"/>
      <color rgb="FF3F3F3F"/>
      <name val="Arial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i/>
      <sz val="11"/>
      <color rgb="FF7F7F7F"/>
      <name val="Calibri"/>
      <family val="2"/>
    </font>
    <font>
      <i/>
      <sz val="12"/>
      <color rgb="FF7F7F7F"/>
      <name val="Arial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0"/>
      <color rgb="FF000000"/>
      <name val="Arial"/>
      <family val="1"/>
    </font>
    <font>
      <sz val="10"/>
      <color rgb="FF000000"/>
      <name val="Arial"/>
      <family val="1"/>
    </font>
    <font>
      <sz val="8"/>
      <color rgb="FF00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8ECF6"/>
        <bgColor indexed="64"/>
      </patternFill>
    </fill>
    <fill>
      <patternFill patternType="solid">
        <fgColor rgb="FFF7F3D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DFF0D8"/>
        <bgColor indexed="64"/>
      </patternFill>
    </fill>
    <fill>
      <patternFill patternType="solid">
        <fgColor rgb="FFEFEFEF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hair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thin"/>
      <top style="double"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13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2" borderId="0" applyNumberFormat="0" applyBorder="0" applyAlignment="0" applyProtection="0"/>
    <xf numFmtId="0" fontId="87" fillId="2" borderId="0" applyNumberFormat="0" applyBorder="0" applyAlignment="0" applyProtection="0"/>
    <xf numFmtId="0" fontId="88" fillId="0" borderId="0" applyNumberFormat="0" applyBorder="0" applyProtection="0">
      <alignment/>
    </xf>
    <xf numFmtId="0" fontId="87" fillId="2" borderId="0" applyNumberFormat="0" applyBorder="0" applyAlignment="0" applyProtection="0"/>
    <xf numFmtId="0" fontId="89" fillId="2" borderId="0" applyNumberFormat="0" applyBorder="0" applyAlignment="0" applyProtection="0"/>
    <xf numFmtId="0" fontId="90" fillId="2" borderId="0" applyNumberFormat="0" applyBorder="0" applyAlignment="0" applyProtection="0"/>
    <xf numFmtId="0" fontId="89" fillId="2" borderId="0" applyNumberFormat="0" applyBorder="0" applyAlignment="0" applyProtection="0"/>
    <xf numFmtId="0" fontId="9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90" fillId="2" borderId="0" applyNumberFormat="0" applyBorder="0" applyAlignment="0" applyProtection="0"/>
    <xf numFmtId="0" fontId="90" fillId="2" borderId="0" applyNumberFormat="0" applyBorder="0" applyAlignment="0" applyProtection="0"/>
    <xf numFmtId="0" fontId="90" fillId="2" borderId="0" applyNumberFormat="0" applyBorder="0" applyAlignment="0" applyProtection="0"/>
    <xf numFmtId="0" fontId="90" fillId="2" borderId="0" applyNumberFormat="0" applyBorder="0" applyAlignment="0" applyProtection="0"/>
    <xf numFmtId="0" fontId="89" fillId="2" borderId="0" applyNumberFormat="0" applyBorder="0" applyAlignment="0" applyProtection="0"/>
    <xf numFmtId="0" fontId="89" fillId="2" borderId="0" applyNumberFormat="0" applyBorder="0" applyAlignment="0" applyProtection="0"/>
    <xf numFmtId="0" fontId="87" fillId="2" borderId="0" applyNumberFormat="0" applyBorder="0" applyAlignment="0" applyProtection="0"/>
    <xf numFmtId="0" fontId="89" fillId="2" borderId="0" applyNumberFormat="0" applyBorder="0" applyAlignment="0" applyProtection="0"/>
    <xf numFmtId="0" fontId="89" fillId="2" borderId="0" applyNumberFormat="0" applyBorder="0" applyAlignment="0" applyProtection="0"/>
    <xf numFmtId="0" fontId="89" fillId="2" borderId="0" applyNumberFormat="0" applyBorder="0" applyAlignment="0" applyProtection="0"/>
    <xf numFmtId="0" fontId="90" fillId="2" borderId="0" applyNumberFormat="0" applyBorder="0" applyAlignment="0" applyProtection="0"/>
    <xf numFmtId="0" fontId="90" fillId="2" borderId="0" applyNumberFormat="0" applyBorder="0" applyAlignment="0" applyProtection="0"/>
    <xf numFmtId="0" fontId="89" fillId="2" borderId="0" applyNumberFormat="0" applyBorder="0" applyAlignment="0" applyProtection="0"/>
    <xf numFmtId="0" fontId="90" fillId="2" borderId="0" applyNumberFormat="0" applyBorder="0" applyAlignment="0" applyProtection="0"/>
    <xf numFmtId="0" fontId="89" fillId="2" borderId="0" applyNumberFormat="0" applyBorder="0" applyAlignment="0" applyProtection="0"/>
    <xf numFmtId="0" fontId="89" fillId="2" borderId="0" applyNumberFormat="0" applyBorder="0" applyAlignment="0" applyProtection="0"/>
    <xf numFmtId="0" fontId="89" fillId="2" borderId="0" applyNumberFormat="0" applyBorder="0" applyAlignment="0" applyProtection="0"/>
    <xf numFmtId="0" fontId="89" fillId="2" borderId="0" applyNumberFormat="0" applyBorder="0" applyAlignment="0" applyProtection="0"/>
    <xf numFmtId="0" fontId="89" fillId="2" borderId="0" applyNumberFormat="0" applyBorder="0" applyAlignment="0" applyProtection="0"/>
    <xf numFmtId="0" fontId="89" fillId="2" borderId="0" applyNumberFormat="0" applyBorder="0" applyAlignment="0" applyProtection="0"/>
    <xf numFmtId="0" fontId="87" fillId="2" borderId="0" applyNumberFormat="0" applyBorder="0" applyAlignment="0" applyProtection="0"/>
    <xf numFmtId="0" fontId="87" fillId="2" borderId="0" applyNumberFormat="0" applyBorder="0" applyAlignment="0" applyProtection="0"/>
    <xf numFmtId="0" fontId="87" fillId="2" borderId="0" applyNumberFormat="0" applyBorder="0" applyAlignment="0" applyProtection="0"/>
    <xf numFmtId="0" fontId="87" fillId="2" borderId="0" applyNumberFormat="0" applyBorder="0" applyAlignment="0" applyProtection="0"/>
    <xf numFmtId="0" fontId="87" fillId="2" borderId="0" applyNumberFormat="0" applyBorder="0" applyAlignment="0" applyProtection="0"/>
    <xf numFmtId="0" fontId="87" fillId="2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9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89" fillId="4" borderId="0" applyNumberFormat="0" applyBorder="0" applyAlignment="0" applyProtection="0"/>
    <xf numFmtId="0" fontId="87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6" borderId="0" applyNumberFormat="0" applyBorder="0" applyAlignment="0" applyProtection="0"/>
    <xf numFmtId="0" fontId="87" fillId="6" borderId="0" applyNumberFormat="0" applyBorder="0" applyAlignment="0" applyProtection="0"/>
    <xf numFmtId="0" fontId="87" fillId="6" borderId="0" applyNumberFormat="0" applyBorder="0" applyAlignment="0" applyProtection="0"/>
    <xf numFmtId="0" fontId="89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89" fillId="6" borderId="0" applyNumberFormat="0" applyBorder="0" applyAlignment="0" applyProtection="0"/>
    <xf numFmtId="0" fontId="87" fillId="6" borderId="0" applyNumberFormat="0" applyBorder="0" applyAlignment="0" applyProtection="0"/>
    <xf numFmtId="0" fontId="89" fillId="6" borderId="0" applyNumberFormat="0" applyBorder="0" applyAlignment="0" applyProtection="0"/>
    <xf numFmtId="0" fontId="89" fillId="6" borderId="0" applyNumberFormat="0" applyBorder="0" applyAlignment="0" applyProtection="0"/>
    <xf numFmtId="0" fontId="89" fillId="6" borderId="0" applyNumberFormat="0" applyBorder="0" applyAlignment="0" applyProtection="0"/>
    <xf numFmtId="0" fontId="89" fillId="6" borderId="0" applyNumberFormat="0" applyBorder="0" applyAlignment="0" applyProtection="0"/>
    <xf numFmtId="0" fontId="89" fillId="6" borderId="0" applyNumberFormat="0" applyBorder="0" applyAlignment="0" applyProtection="0"/>
    <xf numFmtId="0" fontId="89" fillId="6" borderId="0" applyNumberFormat="0" applyBorder="0" applyAlignment="0" applyProtection="0"/>
    <xf numFmtId="0" fontId="89" fillId="6" borderId="0" applyNumberFormat="0" applyBorder="0" applyAlignment="0" applyProtection="0"/>
    <xf numFmtId="0" fontId="89" fillId="6" borderId="0" applyNumberFormat="0" applyBorder="0" applyAlignment="0" applyProtection="0"/>
    <xf numFmtId="0" fontId="89" fillId="6" borderId="0" applyNumberFormat="0" applyBorder="0" applyAlignment="0" applyProtection="0"/>
    <xf numFmtId="0" fontId="89" fillId="6" borderId="0" applyNumberFormat="0" applyBorder="0" applyAlignment="0" applyProtection="0"/>
    <xf numFmtId="0" fontId="89" fillId="6" borderId="0" applyNumberFormat="0" applyBorder="0" applyAlignment="0" applyProtection="0"/>
    <xf numFmtId="0" fontId="87" fillId="6" borderId="0" applyNumberFormat="0" applyBorder="0" applyAlignment="0" applyProtection="0"/>
    <xf numFmtId="0" fontId="87" fillId="6" borderId="0" applyNumberFormat="0" applyBorder="0" applyAlignment="0" applyProtection="0"/>
    <xf numFmtId="0" fontId="87" fillId="6" borderId="0" applyNumberFormat="0" applyBorder="0" applyAlignment="0" applyProtection="0"/>
    <xf numFmtId="0" fontId="87" fillId="6" borderId="0" applyNumberFormat="0" applyBorder="0" applyAlignment="0" applyProtection="0"/>
    <xf numFmtId="0" fontId="87" fillId="6" borderId="0" applyNumberFormat="0" applyBorder="0" applyAlignment="0" applyProtection="0"/>
    <xf numFmtId="0" fontId="87" fillId="6" borderId="0" applyNumberFormat="0" applyBorder="0" applyAlignment="0" applyProtection="0"/>
    <xf numFmtId="0" fontId="87" fillId="2" borderId="0" applyNumberFormat="0" applyBorder="0" applyAlignment="0" applyProtection="0"/>
    <xf numFmtId="0" fontId="87" fillId="2" borderId="0" applyNumberFormat="0" applyBorder="0" applyAlignment="0" applyProtection="0"/>
    <xf numFmtId="0" fontId="87" fillId="2" borderId="0" applyNumberFormat="0" applyBorder="0" applyAlignment="0" applyProtection="0"/>
    <xf numFmtId="0" fontId="89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89" fillId="2" borderId="0" applyNumberFormat="0" applyBorder="0" applyAlignment="0" applyProtection="0"/>
    <xf numFmtId="0" fontId="87" fillId="2" borderId="0" applyNumberFormat="0" applyBorder="0" applyAlignment="0" applyProtection="0"/>
    <xf numFmtId="0" fontId="89" fillId="2" borderId="0" applyNumberFormat="0" applyBorder="0" applyAlignment="0" applyProtection="0"/>
    <xf numFmtId="0" fontId="89" fillId="2" borderId="0" applyNumberFormat="0" applyBorder="0" applyAlignment="0" applyProtection="0"/>
    <xf numFmtId="0" fontId="89" fillId="2" borderId="0" applyNumberFormat="0" applyBorder="0" applyAlignment="0" applyProtection="0"/>
    <xf numFmtId="0" fontId="89" fillId="2" borderId="0" applyNumberFormat="0" applyBorder="0" applyAlignment="0" applyProtection="0"/>
    <xf numFmtId="0" fontId="89" fillId="2" borderId="0" applyNumberFormat="0" applyBorder="0" applyAlignment="0" applyProtection="0"/>
    <xf numFmtId="0" fontId="89" fillId="2" borderId="0" applyNumberFormat="0" applyBorder="0" applyAlignment="0" applyProtection="0"/>
    <xf numFmtId="0" fontId="89" fillId="2" borderId="0" applyNumberFormat="0" applyBorder="0" applyAlignment="0" applyProtection="0"/>
    <xf numFmtId="0" fontId="89" fillId="2" borderId="0" applyNumberFormat="0" applyBorder="0" applyAlignment="0" applyProtection="0"/>
    <xf numFmtId="0" fontId="89" fillId="2" borderId="0" applyNumberFormat="0" applyBorder="0" applyAlignment="0" applyProtection="0"/>
    <xf numFmtId="0" fontId="89" fillId="2" borderId="0" applyNumberFormat="0" applyBorder="0" applyAlignment="0" applyProtection="0"/>
    <xf numFmtId="0" fontId="89" fillId="2" borderId="0" applyNumberFormat="0" applyBorder="0" applyAlignment="0" applyProtection="0"/>
    <xf numFmtId="0" fontId="87" fillId="2" borderId="0" applyNumberFormat="0" applyBorder="0" applyAlignment="0" applyProtection="0"/>
    <xf numFmtId="0" fontId="87" fillId="2" borderId="0" applyNumberFormat="0" applyBorder="0" applyAlignment="0" applyProtection="0"/>
    <xf numFmtId="0" fontId="87" fillId="2" borderId="0" applyNumberFormat="0" applyBorder="0" applyAlignment="0" applyProtection="0"/>
    <xf numFmtId="0" fontId="87" fillId="2" borderId="0" applyNumberFormat="0" applyBorder="0" applyAlignment="0" applyProtection="0"/>
    <xf numFmtId="0" fontId="87" fillId="2" borderId="0" applyNumberFormat="0" applyBorder="0" applyAlignment="0" applyProtection="0"/>
    <xf numFmtId="0" fontId="87" fillId="2" borderId="0" applyNumberFormat="0" applyBorder="0" applyAlignment="0" applyProtection="0"/>
    <xf numFmtId="0" fontId="87" fillId="9" borderId="0" applyNumberFormat="0" applyBorder="0" applyAlignment="0" applyProtection="0"/>
    <xf numFmtId="0" fontId="89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87" fillId="9" borderId="0" applyNumberFormat="0" applyBorder="0" applyAlignment="0" applyProtection="0"/>
    <xf numFmtId="0" fontId="89" fillId="9" borderId="0" applyNumberFormat="0" applyBorder="0" applyAlignment="0" applyProtection="0"/>
    <xf numFmtId="0" fontId="87" fillId="6" borderId="0" applyNumberFormat="0" applyBorder="0" applyAlignment="0" applyProtection="0"/>
    <xf numFmtId="0" fontId="87" fillId="6" borderId="0" applyNumberFormat="0" applyBorder="0" applyAlignment="0" applyProtection="0"/>
    <xf numFmtId="0" fontId="87" fillId="6" borderId="0" applyNumberFormat="0" applyBorder="0" applyAlignment="0" applyProtection="0"/>
    <xf numFmtId="0" fontId="89" fillId="6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89" fillId="6" borderId="0" applyNumberFormat="0" applyBorder="0" applyAlignment="0" applyProtection="0"/>
    <xf numFmtId="0" fontId="87" fillId="6" borderId="0" applyNumberFormat="0" applyBorder="0" applyAlignment="0" applyProtection="0"/>
    <xf numFmtId="0" fontId="89" fillId="6" borderId="0" applyNumberFormat="0" applyBorder="0" applyAlignment="0" applyProtection="0"/>
    <xf numFmtId="0" fontId="89" fillId="6" borderId="0" applyNumberFormat="0" applyBorder="0" applyAlignment="0" applyProtection="0"/>
    <xf numFmtId="0" fontId="89" fillId="6" borderId="0" applyNumberFormat="0" applyBorder="0" applyAlignment="0" applyProtection="0"/>
    <xf numFmtId="0" fontId="89" fillId="6" borderId="0" applyNumberFormat="0" applyBorder="0" applyAlignment="0" applyProtection="0"/>
    <xf numFmtId="0" fontId="89" fillId="6" borderId="0" applyNumberFormat="0" applyBorder="0" applyAlignment="0" applyProtection="0"/>
    <xf numFmtId="0" fontId="89" fillId="6" borderId="0" applyNumberFormat="0" applyBorder="0" applyAlignment="0" applyProtection="0"/>
    <xf numFmtId="0" fontId="89" fillId="6" borderId="0" applyNumberFormat="0" applyBorder="0" applyAlignment="0" applyProtection="0"/>
    <xf numFmtId="0" fontId="89" fillId="6" borderId="0" applyNumberFormat="0" applyBorder="0" applyAlignment="0" applyProtection="0"/>
    <xf numFmtId="0" fontId="89" fillId="6" borderId="0" applyNumberFormat="0" applyBorder="0" applyAlignment="0" applyProtection="0"/>
    <xf numFmtId="0" fontId="89" fillId="6" borderId="0" applyNumberFormat="0" applyBorder="0" applyAlignment="0" applyProtection="0"/>
    <xf numFmtId="0" fontId="89" fillId="6" borderId="0" applyNumberFormat="0" applyBorder="0" applyAlignment="0" applyProtection="0"/>
    <xf numFmtId="0" fontId="87" fillId="6" borderId="0" applyNumberFormat="0" applyBorder="0" applyAlignment="0" applyProtection="0"/>
    <xf numFmtId="0" fontId="87" fillId="6" borderId="0" applyNumberFormat="0" applyBorder="0" applyAlignment="0" applyProtection="0"/>
    <xf numFmtId="0" fontId="87" fillId="6" borderId="0" applyNumberFormat="0" applyBorder="0" applyAlignment="0" applyProtection="0"/>
    <xf numFmtId="0" fontId="87" fillId="6" borderId="0" applyNumberFormat="0" applyBorder="0" applyAlignment="0" applyProtection="0"/>
    <xf numFmtId="0" fontId="87" fillId="6" borderId="0" applyNumberFormat="0" applyBorder="0" applyAlignment="0" applyProtection="0"/>
    <xf numFmtId="0" fontId="87" fillId="6" borderId="0" applyNumberFormat="0" applyBorder="0" applyAlignment="0" applyProtection="0"/>
    <xf numFmtId="0" fontId="87" fillId="11" borderId="0" applyNumberFormat="0" applyBorder="0" applyAlignment="0" applyProtection="0"/>
    <xf numFmtId="0" fontId="87" fillId="11" borderId="0" applyNumberFormat="0" applyBorder="0" applyAlignment="0" applyProtection="0"/>
    <xf numFmtId="0" fontId="87" fillId="11" borderId="0" applyNumberFormat="0" applyBorder="0" applyAlignment="0" applyProtection="0"/>
    <xf numFmtId="0" fontId="8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89" fillId="11" borderId="0" applyNumberFormat="0" applyBorder="0" applyAlignment="0" applyProtection="0"/>
    <xf numFmtId="0" fontId="87" fillId="11" borderId="0" applyNumberFormat="0" applyBorder="0" applyAlignment="0" applyProtection="0"/>
    <xf numFmtId="0" fontId="89" fillId="11" borderId="0" applyNumberFormat="0" applyBorder="0" applyAlignment="0" applyProtection="0"/>
    <xf numFmtId="0" fontId="89" fillId="11" borderId="0" applyNumberFormat="0" applyBorder="0" applyAlignment="0" applyProtection="0"/>
    <xf numFmtId="0" fontId="89" fillId="11" borderId="0" applyNumberFormat="0" applyBorder="0" applyAlignment="0" applyProtection="0"/>
    <xf numFmtId="0" fontId="89" fillId="11" borderId="0" applyNumberFormat="0" applyBorder="0" applyAlignment="0" applyProtection="0"/>
    <xf numFmtId="0" fontId="89" fillId="11" borderId="0" applyNumberFormat="0" applyBorder="0" applyAlignment="0" applyProtection="0"/>
    <xf numFmtId="0" fontId="89" fillId="11" borderId="0" applyNumberFormat="0" applyBorder="0" applyAlignment="0" applyProtection="0"/>
    <xf numFmtId="0" fontId="89" fillId="11" borderId="0" applyNumberFormat="0" applyBorder="0" applyAlignment="0" applyProtection="0"/>
    <xf numFmtId="0" fontId="89" fillId="11" borderId="0" applyNumberFormat="0" applyBorder="0" applyAlignment="0" applyProtection="0"/>
    <xf numFmtId="0" fontId="89" fillId="11" borderId="0" applyNumberFormat="0" applyBorder="0" applyAlignment="0" applyProtection="0"/>
    <xf numFmtId="0" fontId="89" fillId="11" borderId="0" applyNumberFormat="0" applyBorder="0" applyAlignment="0" applyProtection="0"/>
    <xf numFmtId="0" fontId="89" fillId="11" borderId="0" applyNumberFormat="0" applyBorder="0" applyAlignment="0" applyProtection="0"/>
    <xf numFmtId="0" fontId="87" fillId="11" borderId="0" applyNumberFormat="0" applyBorder="0" applyAlignment="0" applyProtection="0"/>
    <xf numFmtId="0" fontId="87" fillId="11" borderId="0" applyNumberFormat="0" applyBorder="0" applyAlignment="0" applyProtection="0"/>
    <xf numFmtId="0" fontId="87" fillId="11" borderId="0" applyNumberFormat="0" applyBorder="0" applyAlignment="0" applyProtection="0"/>
    <xf numFmtId="0" fontId="87" fillId="11" borderId="0" applyNumberFormat="0" applyBorder="0" applyAlignment="0" applyProtection="0"/>
    <xf numFmtId="0" fontId="87" fillId="11" borderId="0" applyNumberFormat="0" applyBorder="0" applyAlignment="0" applyProtection="0"/>
    <xf numFmtId="0" fontId="87" fillId="11" borderId="0" applyNumberFormat="0" applyBorder="0" applyAlignment="0" applyProtection="0"/>
    <xf numFmtId="0" fontId="87" fillId="13" borderId="0" applyNumberFormat="0" applyBorder="0" applyAlignment="0" applyProtection="0"/>
    <xf numFmtId="0" fontId="89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87" fillId="13" borderId="0" applyNumberFormat="0" applyBorder="0" applyAlignment="0" applyProtection="0"/>
    <xf numFmtId="0" fontId="89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4" borderId="0" applyNumberFormat="0" applyBorder="0" applyAlignment="0" applyProtection="0"/>
    <xf numFmtId="0" fontId="87" fillId="14" borderId="0" applyNumberFormat="0" applyBorder="0" applyAlignment="0" applyProtection="0"/>
    <xf numFmtId="0" fontId="8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89" fillId="14" borderId="0" applyNumberFormat="0" applyBorder="0" applyAlignment="0" applyProtection="0"/>
    <xf numFmtId="0" fontId="87" fillId="14" borderId="0" applyNumberFormat="0" applyBorder="0" applyAlignment="0" applyProtection="0"/>
    <xf numFmtId="0" fontId="89" fillId="14" borderId="0" applyNumberFormat="0" applyBorder="0" applyAlignment="0" applyProtection="0"/>
    <xf numFmtId="0" fontId="89" fillId="14" borderId="0" applyNumberFormat="0" applyBorder="0" applyAlignment="0" applyProtection="0"/>
    <xf numFmtId="0" fontId="89" fillId="14" borderId="0" applyNumberFormat="0" applyBorder="0" applyAlignment="0" applyProtection="0"/>
    <xf numFmtId="0" fontId="89" fillId="14" borderId="0" applyNumberFormat="0" applyBorder="0" applyAlignment="0" applyProtection="0"/>
    <xf numFmtId="0" fontId="89" fillId="14" borderId="0" applyNumberFormat="0" applyBorder="0" applyAlignment="0" applyProtection="0"/>
    <xf numFmtId="0" fontId="89" fillId="14" borderId="0" applyNumberFormat="0" applyBorder="0" applyAlignment="0" applyProtection="0"/>
    <xf numFmtId="0" fontId="89" fillId="14" borderId="0" applyNumberFormat="0" applyBorder="0" applyAlignment="0" applyProtection="0"/>
    <xf numFmtId="0" fontId="89" fillId="14" borderId="0" applyNumberFormat="0" applyBorder="0" applyAlignment="0" applyProtection="0"/>
    <xf numFmtId="0" fontId="89" fillId="14" borderId="0" applyNumberFormat="0" applyBorder="0" applyAlignment="0" applyProtection="0"/>
    <xf numFmtId="0" fontId="89" fillId="14" borderId="0" applyNumberFormat="0" applyBorder="0" applyAlignment="0" applyProtection="0"/>
    <xf numFmtId="0" fontId="89" fillId="14" borderId="0" applyNumberFormat="0" applyBorder="0" applyAlignment="0" applyProtection="0"/>
    <xf numFmtId="0" fontId="87" fillId="14" borderId="0" applyNumberFormat="0" applyBorder="0" applyAlignment="0" applyProtection="0"/>
    <xf numFmtId="0" fontId="87" fillId="14" borderId="0" applyNumberFormat="0" applyBorder="0" applyAlignment="0" applyProtection="0"/>
    <xf numFmtId="0" fontId="87" fillId="14" borderId="0" applyNumberFormat="0" applyBorder="0" applyAlignment="0" applyProtection="0"/>
    <xf numFmtId="0" fontId="87" fillId="14" borderId="0" applyNumberFormat="0" applyBorder="0" applyAlignment="0" applyProtection="0"/>
    <xf numFmtId="0" fontId="87" fillId="14" borderId="0" applyNumberFormat="0" applyBorder="0" applyAlignment="0" applyProtection="0"/>
    <xf numFmtId="0" fontId="87" fillId="14" borderId="0" applyNumberFormat="0" applyBorder="0" applyAlignment="0" applyProtection="0"/>
    <xf numFmtId="0" fontId="87" fillId="11" borderId="0" applyNumberFormat="0" applyBorder="0" applyAlignment="0" applyProtection="0"/>
    <xf numFmtId="0" fontId="87" fillId="11" borderId="0" applyNumberFormat="0" applyBorder="0" applyAlignment="0" applyProtection="0"/>
    <xf numFmtId="0" fontId="87" fillId="11" borderId="0" applyNumberFormat="0" applyBorder="0" applyAlignment="0" applyProtection="0"/>
    <xf numFmtId="0" fontId="89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89" fillId="11" borderId="0" applyNumberFormat="0" applyBorder="0" applyAlignment="0" applyProtection="0"/>
    <xf numFmtId="0" fontId="87" fillId="11" borderId="0" applyNumberFormat="0" applyBorder="0" applyAlignment="0" applyProtection="0"/>
    <xf numFmtId="0" fontId="89" fillId="11" borderId="0" applyNumberFormat="0" applyBorder="0" applyAlignment="0" applyProtection="0"/>
    <xf numFmtId="0" fontId="89" fillId="11" borderId="0" applyNumberFormat="0" applyBorder="0" applyAlignment="0" applyProtection="0"/>
    <xf numFmtId="0" fontId="89" fillId="11" borderId="0" applyNumberFormat="0" applyBorder="0" applyAlignment="0" applyProtection="0"/>
    <xf numFmtId="0" fontId="89" fillId="11" borderId="0" applyNumberFormat="0" applyBorder="0" applyAlignment="0" applyProtection="0"/>
    <xf numFmtId="0" fontId="89" fillId="11" borderId="0" applyNumberFormat="0" applyBorder="0" applyAlignment="0" applyProtection="0"/>
    <xf numFmtId="0" fontId="89" fillId="11" borderId="0" applyNumberFormat="0" applyBorder="0" applyAlignment="0" applyProtection="0"/>
    <xf numFmtId="0" fontId="89" fillId="11" borderId="0" applyNumberFormat="0" applyBorder="0" applyAlignment="0" applyProtection="0"/>
    <xf numFmtId="0" fontId="89" fillId="11" borderId="0" applyNumberFormat="0" applyBorder="0" applyAlignment="0" applyProtection="0"/>
    <xf numFmtId="0" fontId="89" fillId="11" borderId="0" applyNumberFormat="0" applyBorder="0" applyAlignment="0" applyProtection="0"/>
    <xf numFmtId="0" fontId="89" fillId="11" borderId="0" applyNumberFormat="0" applyBorder="0" applyAlignment="0" applyProtection="0"/>
    <xf numFmtId="0" fontId="89" fillId="11" borderId="0" applyNumberFormat="0" applyBorder="0" applyAlignment="0" applyProtection="0"/>
    <xf numFmtId="0" fontId="87" fillId="11" borderId="0" applyNumberFormat="0" applyBorder="0" applyAlignment="0" applyProtection="0"/>
    <xf numFmtId="0" fontId="87" fillId="11" borderId="0" applyNumberFormat="0" applyBorder="0" applyAlignment="0" applyProtection="0"/>
    <xf numFmtId="0" fontId="87" fillId="11" borderId="0" applyNumberFormat="0" applyBorder="0" applyAlignment="0" applyProtection="0"/>
    <xf numFmtId="0" fontId="87" fillId="11" borderId="0" applyNumberFormat="0" applyBorder="0" applyAlignment="0" applyProtection="0"/>
    <xf numFmtId="0" fontId="87" fillId="11" borderId="0" applyNumberFormat="0" applyBorder="0" applyAlignment="0" applyProtection="0"/>
    <xf numFmtId="0" fontId="87" fillId="11" borderId="0" applyNumberFormat="0" applyBorder="0" applyAlignment="0" applyProtection="0"/>
    <xf numFmtId="0" fontId="87" fillId="16" borderId="0" applyNumberFormat="0" applyBorder="0" applyAlignment="0" applyProtection="0"/>
    <xf numFmtId="0" fontId="89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87" fillId="16" borderId="0" applyNumberFormat="0" applyBorder="0" applyAlignment="0" applyProtection="0"/>
    <xf numFmtId="0" fontId="89" fillId="16" borderId="0" applyNumberFormat="0" applyBorder="0" applyAlignment="0" applyProtection="0"/>
    <xf numFmtId="0" fontId="87" fillId="14" borderId="0" applyNumberFormat="0" applyBorder="0" applyAlignment="0" applyProtection="0"/>
    <xf numFmtId="0" fontId="87" fillId="14" borderId="0" applyNumberFormat="0" applyBorder="0" applyAlignment="0" applyProtection="0"/>
    <xf numFmtId="0" fontId="87" fillId="14" borderId="0" applyNumberFormat="0" applyBorder="0" applyAlignment="0" applyProtection="0"/>
    <xf numFmtId="0" fontId="89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89" fillId="14" borderId="0" applyNumberFormat="0" applyBorder="0" applyAlignment="0" applyProtection="0"/>
    <xf numFmtId="0" fontId="87" fillId="14" borderId="0" applyNumberFormat="0" applyBorder="0" applyAlignment="0" applyProtection="0"/>
    <xf numFmtId="0" fontId="89" fillId="14" borderId="0" applyNumberFormat="0" applyBorder="0" applyAlignment="0" applyProtection="0"/>
    <xf numFmtId="0" fontId="89" fillId="14" borderId="0" applyNumberFormat="0" applyBorder="0" applyAlignment="0" applyProtection="0"/>
    <xf numFmtId="0" fontId="89" fillId="14" borderId="0" applyNumberFormat="0" applyBorder="0" applyAlignment="0" applyProtection="0"/>
    <xf numFmtId="0" fontId="89" fillId="14" borderId="0" applyNumberFormat="0" applyBorder="0" applyAlignment="0" applyProtection="0"/>
    <xf numFmtId="0" fontId="89" fillId="14" borderId="0" applyNumberFormat="0" applyBorder="0" applyAlignment="0" applyProtection="0"/>
    <xf numFmtId="0" fontId="89" fillId="14" borderId="0" applyNumberFormat="0" applyBorder="0" applyAlignment="0" applyProtection="0"/>
    <xf numFmtId="0" fontId="89" fillId="14" borderId="0" applyNumberFormat="0" applyBorder="0" applyAlignment="0" applyProtection="0"/>
    <xf numFmtId="0" fontId="89" fillId="14" borderId="0" applyNumberFormat="0" applyBorder="0" applyAlignment="0" applyProtection="0"/>
    <xf numFmtId="0" fontId="89" fillId="14" borderId="0" applyNumberFormat="0" applyBorder="0" applyAlignment="0" applyProtection="0"/>
    <xf numFmtId="0" fontId="89" fillId="14" borderId="0" applyNumberFormat="0" applyBorder="0" applyAlignment="0" applyProtection="0"/>
    <xf numFmtId="0" fontId="89" fillId="14" borderId="0" applyNumberFormat="0" applyBorder="0" applyAlignment="0" applyProtection="0"/>
    <xf numFmtId="0" fontId="87" fillId="14" borderId="0" applyNumberFormat="0" applyBorder="0" applyAlignment="0" applyProtection="0"/>
    <xf numFmtId="0" fontId="87" fillId="14" borderId="0" applyNumberFormat="0" applyBorder="0" applyAlignment="0" applyProtection="0"/>
    <xf numFmtId="0" fontId="87" fillId="14" borderId="0" applyNumberFormat="0" applyBorder="0" applyAlignment="0" applyProtection="0"/>
    <xf numFmtId="0" fontId="87" fillId="14" borderId="0" applyNumberFormat="0" applyBorder="0" applyAlignment="0" applyProtection="0"/>
    <xf numFmtId="0" fontId="87" fillId="14" borderId="0" applyNumberFormat="0" applyBorder="0" applyAlignment="0" applyProtection="0"/>
    <xf numFmtId="0" fontId="87" fillId="14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1" fillId="19" borderId="0" applyNumberFormat="0" applyBorder="0" applyAlignment="0" applyProtection="0"/>
    <xf numFmtId="0" fontId="91" fillId="18" borderId="0" applyNumberFormat="0" applyBorder="0" applyAlignment="0" applyProtection="0"/>
    <xf numFmtId="0" fontId="92" fillId="18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92" fillId="19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2" fillId="19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2" fillId="19" borderId="0" applyNumberFormat="0" applyBorder="0" applyAlignment="0" applyProtection="0"/>
    <xf numFmtId="0" fontId="92" fillId="18" borderId="0" applyNumberFormat="0" applyBorder="0" applyAlignment="0" applyProtection="0"/>
    <xf numFmtId="0" fontId="91" fillId="19" borderId="0" applyNumberFormat="0" applyBorder="0" applyAlignment="0" applyProtection="0"/>
    <xf numFmtId="0" fontId="91" fillId="18" borderId="0" applyNumberFormat="0" applyBorder="0" applyAlignment="0" applyProtection="0"/>
    <xf numFmtId="0" fontId="91" fillId="18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1" fillId="19" borderId="0" applyNumberFormat="0" applyBorder="0" applyAlignment="0" applyProtection="0"/>
    <xf numFmtId="0" fontId="91" fillId="21" borderId="0" applyNumberFormat="0" applyBorder="0" applyAlignment="0" applyProtection="0"/>
    <xf numFmtId="0" fontId="92" fillId="21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2" fillId="21" borderId="0" applyNumberFormat="0" applyBorder="0" applyAlignment="0" applyProtection="0"/>
    <xf numFmtId="0" fontId="91" fillId="14" borderId="0" applyNumberFormat="0" applyBorder="0" applyAlignment="0" applyProtection="0"/>
    <xf numFmtId="0" fontId="91" fillId="14" borderId="0" applyNumberFormat="0" applyBorder="0" applyAlignment="0" applyProtection="0"/>
    <xf numFmtId="0" fontId="91" fillId="14" borderId="0" applyNumberFormat="0" applyBorder="0" applyAlignment="0" applyProtection="0"/>
    <xf numFmtId="0" fontId="92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1" fillId="14" borderId="0" applyNumberFormat="0" applyBorder="0" applyAlignment="0" applyProtection="0"/>
    <xf numFmtId="0" fontId="91" fillId="14" borderId="0" applyNumberFormat="0" applyBorder="0" applyAlignment="0" applyProtection="0"/>
    <xf numFmtId="0" fontId="91" fillId="14" borderId="0" applyNumberFormat="0" applyBorder="0" applyAlignment="0" applyProtection="0"/>
    <xf numFmtId="0" fontId="91" fillId="14" borderId="0" applyNumberFormat="0" applyBorder="0" applyAlignment="0" applyProtection="0"/>
    <xf numFmtId="0" fontId="91" fillId="14" borderId="0" applyNumberFormat="0" applyBorder="0" applyAlignment="0" applyProtection="0"/>
    <xf numFmtId="0" fontId="91" fillId="14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2" fillId="1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23" borderId="0" applyNumberFormat="0" applyBorder="0" applyAlignment="0" applyProtection="0"/>
    <xf numFmtId="0" fontId="92" fillId="23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92" fillId="19" borderId="0" applyNumberFormat="0" applyBorder="0" applyAlignment="0" applyProtection="0"/>
    <xf numFmtId="0" fontId="92" fillId="23" borderId="0" applyNumberFormat="0" applyBorder="0" applyAlignment="0" applyProtection="0"/>
    <xf numFmtId="0" fontId="92" fillId="19" borderId="0" applyNumberFormat="0" applyBorder="0" applyAlignment="0" applyProtection="0"/>
    <xf numFmtId="0" fontId="92" fillId="19" borderId="0" applyNumberFormat="0" applyBorder="0" applyAlignment="0" applyProtection="0"/>
    <xf numFmtId="0" fontId="92" fillId="23" borderId="0" applyNumberFormat="0" applyBorder="0" applyAlignment="0" applyProtection="0"/>
    <xf numFmtId="0" fontId="92" fillId="19" borderId="0" applyNumberFormat="0" applyBorder="0" applyAlignment="0" applyProtection="0"/>
    <xf numFmtId="0" fontId="92" fillId="23" borderId="0" applyNumberFormat="0" applyBorder="0" applyAlignment="0" applyProtection="0"/>
    <xf numFmtId="0" fontId="92" fillId="19" borderId="0" applyNumberFormat="0" applyBorder="0" applyAlignment="0" applyProtection="0"/>
    <xf numFmtId="0" fontId="92" fillId="19" borderId="0" applyNumberFormat="0" applyBorder="0" applyAlignment="0" applyProtection="0"/>
    <xf numFmtId="0" fontId="91" fillId="19" borderId="0" applyNumberFormat="0" applyBorder="0" applyAlignment="0" applyProtection="0"/>
    <xf numFmtId="0" fontId="91" fillId="23" borderId="0" applyNumberFormat="0" applyBorder="0" applyAlignment="0" applyProtection="0"/>
    <xf numFmtId="0" fontId="91" fillId="19" borderId="0" applyNumberFormat="0" applyBorder="0" applyAlignment="0" applyProtection="0"/>
    <xf numFmtId="0" fontId="91" fillId="19" borderId="0" applyNumberFormat="0" applyBorder="0" applyAlignment="0" applyProtection="0"/>
    <xf numFmtId="0" fontId="91" fillId="19" borderId="0" applyNumberFormat="0" applyBorder="0" applyAlignment="0" applyProtection="0"/>
    <xf numFmtId="0" fontId="91" fillId="19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2" fillId="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88" fillId="0" borderId="0" applyNumberFormat="0" applyBorder="0" applyProtection="0">
      <alignment/>
    </xf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23" fillId="0" borderId="0" applyNumberFormat="0" applyFont="0" applyBorder="0" applyAlignment="0">
      <protection/>
    </xf>
    <xf numFmtId="0" fontId="23" fillId="0" borderId="0" applyNumberFormat="0" applyFont="0" applyBorder="0" applyAlignment="0">
      <protection/>
    </xf>
    <xf numFmtId="0" fontId="93" fillId="25" borderId="0" applyNumberFormat="0" applyBorder="0" applyAlignment="0" applyProtection="0"/>
    <xf numFmtId="0" fontId="94" fillId="25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94" fillId="25" borderId="0" applyNumberFormat="0" applyBorder="0" applyAlignment="0" applyProtection="0"/>
    <xf numFmtId="0" fontId="93" fillId="25" borderId="0" applyNumberFormat="0" applyBorder="0" applyAlignment="0" applyProtection="0"/>
    <xf numFmtId="0" fontId="94" fillId="25" borderId="0" applyNumberFormat="0" applyBorder="0" applyAlignment="0" applyProtection="0"/>
    <xf numFmtId="0" fontId="95" fillId="26" borderId="1" applyNumberFormat="0" applyAlignment="0" applyProtection="0"/>
    <xf numFmtId="0" fontId="59" fillId="26" borderId="1" applyNumberFormat="0" applyAlignment="0" applyProtection="0"/>
    <xf numFmtId="0" fontId="59" fillId="26" borderId="1" applyNumberFormat="0" applyAlignment="0" applyProtection="0"/>
    <xf numFmtId="0" fontId="95" fillId="26" borderId="1" applyNumberFormat="0" applyAlignment="0" applyProtection="0"/>
    <xf numFmtId="0" fontId="96" fillId="26" borderId="1" applyNumberFormat="0" applyAlignment="0" applyProtection="0"/>
    <xf numFmtId="0" fontId="13" fillId="11" borderId="2" applyNumberFormat="0" applyAlignment="0" applyProtection="0"/>
    <xf numFmtId="0" fontId="35" fillId="26" borderId="1" applyNumberFormat="0" applyAlignment="0" applyProtection="0"/>
    <xf numFmtId="0" fontId="96" fillId="26" borderId="1" applyNumberFormat="0" applyAlignment="0" applyProtection="0"/>
    <xf numFmtId="0" fontId="96" fillId="26" borderId="1" applyNumberFormat="0" applyAlignment="0" applyProtection="0"/>
    <xf numFmtId="0" fontId="35" fillId="26" borderId="1" applyNumberFormat="0" applyAlignment="0" applyProtection="0"/>
    <xf numFmtId="0" fontId="35" fillId="26" borderId="1" applyNumberFormat="0" applyAlignment="0" applyProtection="0"/>
    <xf numFmtId="0" fontId="96" fillId="26" borderId="1" applyNumberFormat="0" applyAlignment="0" applyProtection="0"/>
    <xf numFmtId="0" fontId="96" fillId="26" borderId="1" applyNumberFormat="0" applyAlignment="0" applyProtection="0"/>
    <xf numFmtId="0" fontId="35" fillId="26" borderId="1" applyNumberFormat="0" applyAlignment="0" applyProtection="0"/>
    <xf numFmtId="0" fontId="96" fillId="26" borderId="1" applyNumberFormat="0" applyAlignment="0" applyProtection="0"/>
    <xf numFmtId="0" fontId="96" fillId="26" borderId="1" applyNumberFormat="0" applyAlignment="0" applyProtection="0"/>
    <xf numFmtId="0" fontId="35" fillId="26" borderId="1" applyNumberFormat="0" applyAlignment="0" applyProtection="0"/>
    <xf numFmtId="0" fontId="35" fillId="26" borderId="1" applyNumberFormat="0" applyAlignment="0" applyProtection="0"/>
    <xf numFmtId="0" fontId="96" fillId="26" borderId="1" applyNumberFormat="0" applyAlignment="0" applyProtection="0"/>
    <xf numFmtId="0" fontId="59" fillId="26" borderId="1" applyNumberFormat="0" applyAlignment="0" applyProtection="0"/>
    <xf numFmtId="0" fontId="95" fillId="26" borderId="1" applyNumberFormat="0" applyAlignment="0" applyProtection="0"/>
    <xf numFmtId="0" fontId="95" fillId="26" borderId="1" applyNumberFormat="0" applyAlignment="0" applyProtection="0"/>
    <xf numFmtId="0" fontId="95" fillId="26" borderId="1" applyNumberFormat="0" applyAlignment="0" applyProtection="0"/>
    <xf numFmtId="0" fontId="59" fillId="26" borderId="1" applyNumberFormat="0" applyAlignment="0" applyProtection="0"/>
    <xf numFmtId="0" fontId="59" fillId="26" borderId="1" applyNumberFormat="0" applyAlignment="0" applyProtection="0"/>
    <xf numFmtId="0" fontId="97" fillId="27" borderId="3" applyNumberFormat="0" applyAlignment="0" applyProtection="0"/>
    <xf numFmtId="0" fontId="98" fillId="27" borderId="3" applyNumberFormat="0" applyAlignment="0" applyProtection="0"/>
    <xf numFmtId="0" fontId="14" fillId="28" borderId="4" applyNumberFormat="0" applyAlignment="0" applyProtection="0"/>
    <xf numFmtId="0" fontId="14" fillId="28" borderId="4" applyNumberFormat="0" applyAlignment="0" applyProtection="0"/>
    <xf numFmtId="0" fontId="98" fillId="29" borderId="5" applyNumberFormat="0" applyAlignment="0" applyProtection="0"/>
    <xf numFmtId="0" fontId="98" fillId="27" borderId="3" applyNumberFormat="0" applyAlignment="0" applyProtection="0"/>
    <xf numFmtId="0" fontId="98" fillId="29" borderId="5" applyNumberFormat="0" applyAlignment="0" applyProtection="0"/>
    <xf numFmtId="0" fontId="98" fillId="29" borderId="5" applyNumberFormat="0" applyAlignment="0" applyProtection="0"/>
    <xf numFmtId="0" fontId="98" fillId="27" borderId="3" applyNumberFormat="0" applyAlignment="0" applyProtection="0"/>
    <xf numFmtId="0" fontId="98" fillId="29" borderId="5" applyNumberFormat="0" applyAlignment="0" applyProtection="0"/>
    <xf numFmtId="0" fontId="98" fillId="27" borderId="3" applyNumberFormat="0" applyAlignment="0" applyProtection="0"/>
    <xf numFmtId="0" fontId="98" fillId="29" borderId="5" applyNumberFormat="0" applyAlignment="0" applyProtection="0"/>
    <xf numFmtId="0" fontId="98" fillId="29" borderId="5" applyNumberFormat="0" applyAlignment="0" applyProtection="0"/>
    <xf numFmtId="0" fontId="97" fillId="29" borderId="5" applyNumberFormat="0" applyAlignment="0" applyProtection="0"/>
    <xf numFmtId="0" fontId="97" fillId="27" borderId="3" applyNumberFormat="0" applyAlignment="0" applyProtection="0"/>
    <xf numFmtId="0" fontId="97" fillId="29" borderId="5" applyNumberFormat="0" applyAlignment="0" applyProtection="0"/>
    <xf numFmtId="0" fontId="97" fillId="29" borderId="5" applyNumberFormat="0" applyAlignment="0" applyProtection="0"/>
    <xf numFmtId="0" fontId="97" fillId="29" borderId="5" applyNumberFormat="0" applyAlignment="0" applyProtection="0"/>
    <xf numFmtId="0" fontId="97" fillId="29" borderId="5" applyNumberFormat="0" applyAlignment="0" applyProtection="0"/>
    <xf numFmtId="0" fontId="99" fillId="0" borderId="6" applyNumberFormat="0" applyFill="0" applyAlignment="0" applyProtection="0"/>
    <xf numFmtId="0" fontId="43" fillId="0" borderId="7" applyNumberFormat="0" applyFill="0" applyAlignment="0" applyProtection="0"/>
    <xf numFmtId="0" fontId="100" fillId="0" borderId="6" applyNumberFormat="0" applyFill="0" applyAlignment="0" applyProtection="0"/>
    <xf numFmtId="0" fontId="15" fillId="0" borderId="8" applyNumberFormat="0" applyFill="0" applyAlignment="0" applyProtection="0"/>
    <xf numFmtId="0" fontId="36" fillId="0" borderId="7" applyNumberFormat="0" applyFill="0" applyAlignment="0" applyProtection="0"/>
    <xf numFmtId="0" fontId="100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100" fillId="0" borderId="6" applyNumberFormat="0" applyFill="0" applyAlignment="0" applyProtection="0"/>
    <xf numFmtId="0" fontId="36" fillId="0" borderId="7" applyNumberFormat="0" applyFill="0" applyAlignment="0" applyProtection="0"/>
    <xf numFmtId="0" fontId="100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99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1" fillId="19" borderId="0" applyNumberFormat="0" applyBorder="0" applyAlignment="0" applyProtection="0"/>
    <xf numFmtId="0" fontId="91" fillId="18" borderId="0" applyNumberFormat="0" applyBorder="0" applyAlignment="0" applyProtection="0"/>
    <xf numFmtId="0" fontId="92" fillId="18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92" fillId="19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2" fillId="19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2" fillId="19" borderId="0" applyNumberFormat="0" applyBorder="0" applyAlignment="0" applyProtection="0"/>
    <xf numFmtId="0" fontId="92" fillId="18" borderId="0" applyNumberFormat="0" applyBorder="0" applyAlignment="0" applyProtection="0"/>
    <xf numFmtId="0" fontId="91" fillId="19" borderId="0" applyNumberFormat="0" applyBorder="0" applyAlignment="0" applyProtection="0"/>
    <xf numFmtId="0" fontId="91" fillId="18" borderId="0" applyNumberFormat="0" applyBorder="0" applyAlignment="0" applyProtection="0"/>
    <xf numFmtId="0" fontId="91" fillId="18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1" fillId="19" borderId="0" applyNumberFormat="0" applyBorder="0" applyAlignment="0" applyProtection="0"/>
    <xf numFmtId="0" fontId="91" fillId="31" borderId="0" applyNumberFormat="0" applyBorder="0" applyAlignment="0" applyProtection="0"/>
    <xf numFmtId="0" fontId="92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92" fillId="31" borderId="0" applyNumberFormat="0" applyBorder="0" applyAlignment="0" applyProtection="0"/>
    <xf numFmtId="0" fontId="91" fillId="33" borderId="0" applyNumberFormat="0" applyBorder="0" applyAlignment="0" applyProtection="0"/>
    <xf numFmtId="0" fontId="92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92" fillId="35" borderId="0" applyNumberFormat="0" applyBorder="0" applyAlignment="0" applyProtection="0"/>
    <xf numFmtId="0" fontId="92" fillId="33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3" borderId="0" applyNumberFormat="0" applyBorder="0" applyAlignment="0" applyProtection="0"/>
    <xf numFmtId="0" fontId="92" fillId="35" borderId="0" applyNumberFormat="0" applyBorder="0" applyAlignment="0" applyProtection="0"/>
    <xf numFmtId="0" fontId="92" fillId="33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3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6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6" borderId="0" applyNumberFormat="0" applyBorder="0" applyAlignment="0" applyProtection="0"/>
    <xf numFmtId="0" fontId="92" fillId="36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92" fillId="37" borderId="0" applyNumberFormat="0" applyBorder="0" applyAlignment="0" applyProtection="0"/>
    <xf numFmtId="0" fontId="92" fillId="36" borderId="0" applyNumberFormat="0" applyBorder="0" applyAlignment="0" applyProtection="0"/>
    <xf numFmtId="0" fontId="92" fillId="36" borderId="0" applyNumberFormat="0" applyBorder="0" applyAlignment="0" applyProtection="0"/>
    <xf numFmtId="0" fontId="92" fillId="37" borderId="0" applyNumberFormat="0" applyBorder="0" applyAlignment="0" applyProtection="0"/>
    <xf numFmtId="0" fontId="92" fillId="37" borderId="0" applyNumberFormat="0" applyBorder="0" applyAlignment="0" applyProtection="0"/>
    <xf numFmtId="0" fontId="92" fillId="36" borderId="0" applyNumberFormat="0" applyBorder="0" applyAlignment="0" applyProtection="0"/>
    <xf numFmtId="0" fontId="92" fillId="36" borderId="0" applyNumberFormat="0" applyBorder="0" applyAlignment="0" applyProtection="0"/>
    <xf numFmtId="0" fontId="92" fillId="37" borderId="0" applyNumberFormat="0" applyBorder="0" applyAlignment="0" applyProtection="0"/>
    <xf numFmtId="0" fontId="92" fillId="36" borderId="0" applyNumberFormat="0" applyBorder="0" applyAlignment="0" applyProtection="0"/>
    <xf numFmtId="0" fontId="92" fillId="36" borderId="0" applyNumberFormat="0" applyBorder="0" applyAlignment="0" applyProtection="0"/>
    <xf numFmtId="0" fontId="92" fillId="37" borderId="0" applyNumberFormat="0" applyBorder="0" applyAlignment="0" applyProtection="0"/>
    <xf numFmtId="0" fontId="92" fillId="37" borderId="0" applyNumberFormat="0" applyBorder="0" applyAlignment="0" applyProtection="0"/>
    <xf numFmtId="0" fontId="92" fillId="36" borderId="0" applyNumberFormat="0" applyBorder="0" applyAlignment="0" applyProtection="0"/>
    <xf numFmtId="0" fontId="91" fillId="37" borderId="0" applyNumberFormat="0" applyBorder="0" applyAlignment="0" applyProtection="0"/>
    <xf numFmtId="0" fontId="91" fillId="36" borderId="0" applyNumberFormat="0" applyBorder="0" applyAlignment="0" applyProtection="0"/>
    <xf numFmtId="0" fontId="91" fillId="36" borderId="0" applyNumberFormat="0" applyBorder="0" applyAlignment="0" applyProtection="0"/>
    <xf numFmtId="0" fontId="91" fillId="36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8" borderId="0" applyNumberFormat="0" applyBorder="0" applyAlignment="0" applyProtection="0"/>
    <xf numFmtId="0" fontId="92" fillId="3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92" fillId="19" borderId="0" applyNumberFormat="0" applyBorder="0" applyAlignment="0" applyProtection="0"/>
    <xf numFmtId="0" fontId="92" fillId="38" borderId="0" applyNumberFormat="0" applyBorder="0" applyAlignment="0" applyProtection="0"/>
    <xf numFmtId="0" fontId="92" fillId="19" borderId="0" applyNumberFormat="0" applyBorder="0" applyAlignment="0" applyProtection="0"/>
    <xf numFmtId="0" fontId="92" fillId="19" borderId="0" applyNumberFormat="0" applyBorder="0" applyAlignment="0" applyProtection="0"/>
    <xf numFmtId="0" fontId="92" fillId="38" borderId="0" applyNumberFormat="0" applyBorder="0" applyAlignment="0" applyProtection="0"/>
    <xf numFmtId="0" fontId="92" fillId="19" borderId="0" applyNumberFormat="0" applyBorder="0" applyAlignment="0" applyProtection="0"/>
    <xf numFmtId="0" fontId="92" fillId="38" borderId="0" applyNumberFormat="0" applyBorder="0" applyAlignment="0" applyProtection="0"/>
    <xf numFmtId="0" fontId="92" fillId="19" borderId="0" applyNumberFormat="0" applyBorder="0" applyAlignment="0" applyProtection="0"/>
    <xf numFmtId="0" fontId="92" fillId="19" borderId="0" applyNumberFormat="0" applyBorder="0" applyAlignment="0" applyProtection="0"/>
    <xf numFmtId="0" fontId="91" fillId="19" borderId="0" applyNumberFormat="0" applyBorder="0" applyAlignment="0" applyProtection="0"/>
    <xf numFmtId="0" fontId="91" fillId="38" borderId="0" applyNumberFormat="0" applyBorder="0" applyAlignment="0" applyProtection="0"/>
    <xf numFmtId="0" fontId="91" fillId="19" borderId="0" applyNumberFormat="0" applyBorder="0" applyAlignment="0" applyProtection="0"/>
    <xf numFmtId="0" fontId="91" fillId="19" borderId="0" applyNumberFormat="0" applyBorder="0" applyAlignment="0" applyProtection="0"/>
    <xf numFmtId="0" fontId="91" fillId="19" borderId="0" applyNumberFormat="0" applyBorder="0" applyAlignment="0" applyProtection="0"/>
    <xf numFmtId="0" fontId="91" fillId="19" borderId="0" applyNumberFormat="0" applyBorder="0" applyAlignment="0" applyProtection="0"/>
    <xf numFmtId="0" fontId="91" fillId="39" borderId="0" applyNumberFormat="0" applyBorder="0" applyAlignment="0" applyProtection="0"/>
    <xf numFmtId="0" fontId="92" fillId="39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92" fillId="24" borderId="0" applyNumberFormat="0" applyBorder="0" applyAlignment="0" applyProtection="0"/>
    <xf numFmtId="0" fontId="92" fillId="39" borderId="0" applyNumberFormat="0" applyBorder="0" applyAlignment="0" applyProtection="0"/>
    <xf numFmtId="0" fontId="92" fillId="24" borderId="0" applyNumberFormat="0" applyBorder="0" applyAlignment="0" applyProtection="0"/>
    <xf numFmtId="0" fontId="92" fillId="24" borderId="0" applyNumberFormat="0" applyBorder="0" applyAlignment="0" applyProtection="0"/>
    <xf numFmtId="0" fontId="92" fillId="39" borderId="0" applyNumberFormat="0" applyBorder="0" applyAlignment="0" applyProtection="0"/>
    <xf numFmtId="0" fontId="92" fillId="24" borderId="0" applyNumberFormat="0" applyBorder="0" applyAlignment="0" applyProtection="0"/>
    <xf numFmtId="0" fontId="92" fillId="39" borderId="0" applyNumberFormat="0" applyBorder="0" applyAlignment="0" applyProtection="0"/>
    <xf numFmtId="0" fontId="92" fillId="24" borderId="0" applyNumberFormat="0" applyBorder="0" applyAlignment="0" applyProtection="0"/>
    <xf numFmtId="0" fontId="92" fillId="24" borderId="0" applyNumberFormat="0" applyBorder="0" applyAlignment="0" applyProtection="0"/>
    <xf numFmtId="0" fontId="91" fillId="24" borderId="0" applyNumberFormat="0" applyBorder="0" applyAlignment="0" applyProtection="0"/>
    <xf numFmtId="0" fontId="91" fillId="39" borderId="0" applyNumberFormat="0" applyBorder="0" applyAlignment="0" applyProtection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101" fillId="14" borderId="1" applyNumberFormat="0" applyAlignment="0" applyProtection="0"/>
    <xf numFmtId="0" fontId="63" fillId="14" borderId="1" applyNumberFormat="0" applyAlignment="0" applyProtection="0"/>
    <xf numFmtId="0" fontId="63" fillId="14" borderId="1" applyNumberFormat="0" applyAlignment="0" applyProtection="0"/>
    <xf numFmtId="0" fontId="101" fillId="14" borderId="1" applyNumberFormat="0" applyAlignment="0" applyProtection="0"/>
    <xf numFmtId="0" fontId="102" fillId="14" borderId="1" applyNumberFormat="0" applyAlignment="0" applyProtection="0"/>
    <xf numFmtId="0" fontId="16" fillId="2" borderId="2" applyNumberFormat="0" applyAlignment="0" applyProtection="0"/>
    <xf numFmtId="0" fontId="37" fillId="14" borderId="1" applyNumberFormat="0" applyAlignment="0" applyProtection="0"/>
    <xf numFmtId="0" fontId="102" fillId="14" borderId="1" applyNumberFormat="0" applyAlignment="0" applyProtection="0"/>
    <xf numFmtId="0" fontId="102" fillId="14" borderId="1" applyNumberFormat="0" applyAlignment="0" applyProtection="0"/>
    <xf numFmtId="0" fontId="37" fillId="14" borderId="1" applyNumberFormat="0" applyAlignment="0" applyProtection="0"/>
    <xf numFmtId="0" fontId="37" fillId="14" borderId="1" applyNumberFormat="0" applyAlignment="0" applyProtection="0"/>
    <xf numFmtId="0" fontId="102" fillId="14" borderId="1" applyNumberFormat="0" applyAlignment="0" applyProtection="0"/>
    <xf numFmtId="0" fontId="102" fillId="14" borderId="1" applyNumberFormat="0" applyAlignment="0" applyProtection="0"/>
    <xf numFmtId="0" fontId="37" fillId="14" borderId="1" applyNumberFormat="0" applyAlignment="0" applyProtection="0"/>
    <xf numFmtId="0" fontId="102" fillId="14" borderId="1" applyNumberFormat="0" applyAlignment="0" applyProtection="0"/>
    <xf numFmtId="0" fontId="102" fillId="14" borderId="1" applyNumberFormat="0" applyAlignment="0" applyProtection="0"/>
    <xf numFmtId="0" fontId="37" fillId="14" borderId="1" applyNumberFormat="0" applyAlignment="0" applyProtection="0"/>
    <xf numFmtId="0" fontId="37" fillId="14" borderId="1" applyNumberFormat="0" applyAlignment="0" applyProtection="0"/>
    <xf numFmtId="0" fontId="102" fillId="14" borderId="1" applyNumberFormat="0" applyAlignment="0" applyProtection="0"/>
    <xf numFmtId="0" fontId="63" fillId="14" borderId="1" applyNumberFormat="0" applyAlignment="0" applyProtection="0"/>
    <xf numFmtId="0" fontId="101" fillId="14" borderId="1" applyNumberFormat="0" applyAlignment="0" applyProtection="0"/>
    <xf numFmtId="0" fontId="101" fillId="14" borderId="1" applyNumberFormat="0" applyAlignment="0" applyProtection="0"/>
    <xf numFmtId="0" fontId="101" fillId="14" borderId="1" applyNumberFormat="0" applyAlignment="0" applyProtection="0"/>
    <xf numFmtId="0" fontId="63" fillId="14" borderId="1" applyNumberFormat="0" applyAlignment="0" applyProtection="0"/>
    <xf numFmtId="0" fontId="63" fillId="14" borderId="1" applyNumberFormat="0" applyAlignment="0" applyProtection="0"/>
    <xf numFmtId="185" fontId="0" fillId="0" borderId="0" applyFont="0" applyFill="0" applyBorder="0" applyAlignment="0" applyProtection="0"/>
    <xf numFmtId="186" fontId="29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0" fontId="10" fillId="0" borderId="0">
      <alignment/>
      <protection/>
    </xf>
    <xf numFmtId="187" fontId="88" fillId="0" borderId="0" applyBorder="0" applyProtection="0">
      <alignment/>
    </xf>
    <xf numFmtId="187" fontId="88" fillId="0" borderId="0" applyBorder="0" applyProtection="0">
      <alignment/>
    </xf>
    <xf numFmtId="0" fontId="103" fillId="0" borderId="0" applyNumberFormat="0" applyBorder="0" applyProtection="0">
      <alignment/>
    </xf>
    <xf numFmtId="0" fontId="88" fillId="0" borderId="0" applyNumberFormat="0" applyBorder="0" applyProtection="0">
      <alignment/>
    </xf>
    <xf numFmtId="0" fontId="10" fillId="0" borderId="0">
      <alignment/>
      <protection/>
    </xf>
    <xf numFmtId="0" fontId="103" fillId="0" borderId="0" applyNumberFormat="0" applyBorder="0" applyProtection="0">
      <alignment/>
    </xf>
    <xf numFmtId="188" fontId="103" fillId="0" borderId="0" applyBorder="0" applyProtection="0">
      <alignment/>
    </xf>
    <xf numFmtId="0" fontId="104" fillId="0" borderId="0" applyNumberFormat="0" applyBorder="0" applyProtection="0">
      <alignment horizontal="center"/>
    </xf>
    <xf numFmtId="0" fontId="105" fillId="0" borderId="0" applyNumberFormat="0" applyBorder="0" applyProtection="0">
      <alignment horizontal="center"/>
    </xf>
    <xf numFmtId="0" fontId="104" fillId="0" borderId="0" applyNumberFormat="0" applyBorder="0" applyProtection="0">
      <alignment horizontal="center" textRotation="90"/>
    </xf>
    <xf numFmtId="0" fontId="105" fillId="0" borderId="0" applyNumberFormat="0" applyBorder="0" applyProtection="0">
      <alignment horizontal="center" textRotation="90"/>
    </xf>
    <xf numFmtId="0" fontId="2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7" fillId="4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07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1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1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8" fillId="41" borderId="0" applyNumberFormat="0" applyBorder="0" applyAlignment="0" applyProtection="0"/>
    <xf numFmtId="0" fontId="18" fillId="14" borderId="0" applyNumberFormat="0" applyBorder="0" applyAlignment="0" applyProtection="0"/>
    <xf numFmtId="0" fontId="38" fillId="41" borderId="0" applyNumberFormat="0" applyBorder="0" applyAlignment="0" applyProtection="0"/>
    <xf numFmtId="0" fontId="10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108" fillId="41" borderId="0" applyNumberFormat="0" applyBorder="0" applyAlignment="0" applyProtection="0"/>
    <xf numFmtId="0" fontId="38" fillId="41" borderId="0" applyNumberFormat="0" applyBorder="0" applyAlignment="0" applyProtection="0"/>
    <xf numFmtId="0" fontId="10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70" fillId="41" borderId="0" applyNumberFormat="0" applyBorder="0" applyAlignment="0" applyProtection="0"/>
    <xf numFmtId="0" fontId="109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109" fillId="4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87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9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0" borderId="0">
      <alignment/>
      <protection/>
    </xf>
    <xf numFmtId="0" fontId="103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49" fontId="0" fillId="14" borderId="9" applyNumberFormat="0" applyFont="0" applyFill="0" applyBorder="0" applyAlignment="0">
      <protection/>
    </xf>
    <xf numFmtId="0" fontId="9" fillId="0" borderId="0">
      <alignment vertical="top"/>
      <protection/>
    </xf>
    <xf numFmtId="0" fontId="87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49" fontId="0" fillId="14" borderId="9" applyNumberFormat="0" applyFont="0" applyFill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87" fillId="0" borderId="0">
      <alignment/>
      <protection/>
    </xf>
    <xf numFmtId="0" fontId="110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87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0" fillId="0" borderId="0">
      <alignment/>
      <protection/>
    </xf>
    <xf numFmtId="0" fontId="11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103" fillId="0" borderId="0">
      <alignment/>
      <protection/>
    </xf>
    <xf numFmtId="0" fontId="103" fillId="0" borderId="0">
      <alignment/>
      <protection/>
    </xf>
    <xf numFmtId="0" fontId="9" fillId="0" borderId="0">
      <alignment vertical="top"/>
      <protection/>
    </xf>
    <xf numFmtId="0" fontId="1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top"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2" borderId="10" applyNumberFormat="0" applyFont="0" applyAlignment="0" applyProtection="0"/>
    <xf numFmtId="0" fontId="24" fillId="42" borderId="10" applyNumberFormat="0" applyFont="0" applyAlignment="0" applyProtection="0"/>
    <xf numFmtId="0" fontId="10" fillId="42" borderId="10" applyNumberFormat="0" applyFont="0" applyAlignment="0" applyProtection="0"/>
    <xf numFmtId="0" fontId="10" fillId="42" borderId="10" applyNumberFormat="0" applyFont="0" applyAlignment="0" applyProtection="0"/>
    <xf numFmtId="0" fontId="10" fillId="42" borderId="10" applyNumberFormat="0" applyFont="0" applyAlignment="0" applyProtection="0"/>
    <xf numFmtId="0" fontId="10" fillId="42" borderId="10" applyNumberFormat="0" applyFont="0" applyAlignment="0" applyProtection="0"/>
    <xf numFmtId="0" fontId="24" fillId="42" borderId="10" applyNumberFormat="0" applyFont="0" applyAlignment="0" applyProtection="0"/>
    <xf numFmtId="0" fontId="10" fillId="42" borderId="10" applyNumberFormat="0" applyFont="0" applyAlignment="0" applyProtection="0"/>
    <xf numFmtId="0" fontId="0" fillId="6" borderId="11" applyNumberFormat="0" applyFont="0" applyAlignment="0" applyProtection="0"/>
    <xf numFmtId="0" fontId="0" fillId="6" borderId="11" applyNumberFormat="0" applyFont="0" applyAlignment="0" applyProtection="0"/>
    <xf numFmtId="0" fontId="10" fillId="42" borderId="10" applyNumberFormat="0" applyFont="0" applyAlignment="0" applyProtection="0"/>
    <xf numFmtId="0" fontId="10" fillId="42" borderId="10" applyNumberFormat="0" applyFont="0" applyAlignment="0" applyProtection="0"/>
    <xf numFmtId="0" fontId="10" fillId="42" borderId="10" applyNumberFormat="0" applyFont="0" applyAlignment="0" applyProtection="0"/>
    <xf numFmtId="0" fontId="10" fillId="42" borderId="10" applyNumberFormat="0" applyFont="0" applyAlignment="0" applyProtection="0"/>
    <xf numFmtId="0" fontId="10" fillId="42" borderId="10" applyNumberFormat="0" applyFont="0" applyAlignment="0" applyProtection="0"/>
    <xf numFmtId="0" fontId="10" fillId="42" borderId="10" applyNumberFormat="0" applyFont="0" applyAlignment="0" applyProtection="0"/>
    <xf numFmtId="0" fontId="10" fillId="42" borderId="10" applyNumberFormat="0" applyFont="0" applyAlignment="0" applyProtection="0"/>
    <xf numFmtId="0" fontId="10" fillId="42" borderId="10" applyNumberFormat="0" applyFont="0" applyAlignment="0" applyProtection="0"/>
    <xf numFmtId="0" fontId="10" fillId="42" borderId="10" applyNumberFormat="0" applyFont="0" applyAlignment="0" applyProtection="0"/>
    <xf numFmtId="0" fontId="24" fillId="42" borderId="10" applyNumberFormat="0" applyFont="0" applyAlignment="0" applyProtection="0"/>
    <xf numFmtId="0" fontId="24" fillId="42" borderId="10" applyNumberFormat="0" applyFont="0" applyAlignment="0" applyProtection="0"/>
    <xf numFmtId="0" fontId="24" fillId="42" borderId="10" applyNumberFormat="0" applyFont="0" applyAlignment="0" applyProtection="0"/>
    <xf numFmtId="0" fontId="24" fillId="42" borderId="10" applyNumberFormat="0" applyFont="0" applyAlignment="0" applyProtection="0"/>
    <xf numFmtId="0" fontId="24" fillId="42" borderId="10" applyNumberFormat="0" applyFont="0" applyAlignment="0" applyProtection="0"/>
    <xf numFmtId="0" fontId="24" fillId="42" borderId="10" applyNumberFormat="0" applyFont="0" applyAlignment="0" applyProtection="0"/>
    <xf numFmtId="0" fontId="10" fillId="42" borderId="10" applyNumberFormat="0" applyFont="0" applyAlignment="0" applyProtection="0"/>
    <xf numFmtId="0" fontId="10" fillId="42" borderId="10" applyNumberFormat="0" applyFont="0" applyAlignment="0" applyProtection="0"/>
    <xf numFmtId="0" fontId="10" fillId="42" borderId="10" applyNumberFormat="0" applyFont="0" applyAlignment="0" applyProtection="0"/>
    <xf numFmtId="0" fontId="10" fillId="42" borderId="10" applyNumberFormat="0" applyFont="0" applyAlignment="0" applyProtection="0"/>
    <xf numFmtId="0" fontId="24" fillId="42" borderId="10" applyNumberFormat="0" applyFont="0" applyAlignment="0" applyProtection="0"/>
    <xf numFmtId="0" fontId="24" fillId="42" borderId="10" applyNumberFormat="0" applyFont="0" applyAlignment="0" applyProtection="0"/>
    <xf numFmtId="0" fontId="24" fillId="42" borderId="10" applyNumberFormat="0" applyFont="0" applyAlignment="0" applyProtection="0"/>
    <xf numFmtId="0" fontId="24" fillId="42" borderId="10" applyNumberFormat="0" applyFont="0" applyAlignment="0" applyProtection="0"/>
    <xf numFmtId="0" fontId="24" fillId="42" borderId="10" applyNumberFormat="0" applyFont="0" applyAlignment="0" applyProtection="0"/>
    <xf numFmtId="0" fontId="24" fillId="42" borderId="10" applyNumberFormat="0" applyFont="0" applyAlignment="0" applyProtection="0"/>
    <xf numFmtId="0" fontId="24" fillId="42" borderId="10" applyNumberFormat="0" applyFont="0" applyAlignment="0" applyProtection="0"/>
    <xf numFmtId="0" fontId="24" fillId="42" borderId="10" applyNumberFormat="0" applyFont="0" applyAlignment="0" applyProtection="0"/>
    <xf numFmtId="0" fontId="24" fillId="42" borderId="10" applyNumberFormat="0" applyFont="0" applyAlignment="0" applyProtection="0"/>
    <xf numFmtId="0" fontId="24" fillId="42" borderId="10" applyNumberFormat="0" applyFont="0" applyAlignment="0" applyProtection="0"/>
    <xf numFmtId="0" fontId="24" fillId="42" borderId="10" applyNumberFormat="0" applyFont="0" applyAlignment="0" applyProtection="0"/>
    <xf numFmtId="0" fontId="10" fillId="42" borderId="10" applyNumberFormat="0" applyFont="0" applyAlignment="0" applyProtection="0"/>
    <xf numFmtId="0" fontId="10" fillId="42" borderId="10" applyNumberFormat="0" applyFont="0" applyAlignment="0" applyProtection="0"/>
    <xf numFmtId="0" fontId="10" fillId="42" borderId="10" applyNumberFormat="0" applyFont="0" applyAlignment="0" applyProtection="0"/>
    <xf numFmtId="0" fontId="10" fillId="42" borderId="10" applyNumberFormat="0" applyFont="0" applyAlignment="0" applyProtection="0"/>
    <xf numFmtId="0" fontId="10" fillId="42" borderId="10" applyNumberFormat="0" applyFont="0" applyAlignment="0" applyProtection="0"/>
    <xf numFmtId="0" fontId="10" fillId="42" borderId="10" applyNumberFormat="0" applyFont="0" applyAlignment="0" applyProtection="0"/>
    <xf numFmtId="0" fontId="10" fillId="42" borderId="10" applyNumberFormat="0" applyFont="0" applyAlignment="0" applyProtection="0"/>
    <xf numFmtId="0" fontId="10" fillId="42" borderId="10" applyNumberFormat="0" applyFont="0" applyAlignment="0" applyProtection="0"/>
    <xf numFmtId="0" fontId="10" fillId="42" borderId="10" applyNumberFormat="0" applyFont="0" applyAlignment="0" applyProtection="0"/>
    <xf numFmtId="0" fontId="10" fillId="42" borderId="10" applyNumberFormat="0" applyFont="0" applyAlignment="0" applyProtection="0"/>
    <xf numFmtId="0" fontId="5" fillId="0" borderId="12" applyNumberFormat="0" applyFont="0" applyBorder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2" fillId="0" borderId="0" applyNumberFormat="0" applyBorder="0" applyProtection="0">
      <alignment/>
    </xf>
    <xf numFmtId="0" fontId="113" fillId="0" borderId="0" applyNumberFormat="0" applyBorder="0" applyProtection="0">
      <alignment/>
    </xf>
    <xf numFmtId="189" fontId="112" fillId="0" borderId="0" applyBorder="0" applyProtection="0">
      <alignment/>
    </xf>
    <xf numFmtId="189" fontId="113" fillId="0" borderId="0" applyBorder="0" applyProtection="0">
      <alignment/>
    </xf>
    <xf numFmtId="0" fontId="114" fillId="40" borderId="0" applyNumberFormat="0" applyBorder="0" applyAlignment="0" applyProtection="0"/>
    <xf numFmtId="0" fontId="115" fillId="26" borderId="13" applyNumberFormat="0" applyAlignment="0" applyProtection="0"/>
    <xf numFmtId="0" fontId="44" fillId="26" borderId="14" applyNumberFormat="0" applyAlignment="0" applyProtection="0"/>
    <xf numFmtId="0" fontId="44" fillId="26" borderId="14" applyNumberFormat="0" applyAlignment="0" applyProtection="0"/>
    <xf numFmtId="0" fontId="44" fillId="26" borderId="14" applyNumberFormat="0" applyAlignment="0" applyProtection="0"/>
    <xf numFmtId="0" fontId="115" fillId="26" borderId="13" applyNumberFormat="0" applyAlignment="0" applyProtection="0"/>
    <xf numFmtId="0" fontId="116" fillId="26" borderId="13" applyNumberFormat="0" applyAlignment="0" applyProtection="0"/>
    <xf numFmtId="0" fontId="19" fillId="11" borderId="15" applyNumberFormat="0" applyAlignment="0" applyProtection="0"/>
    <xf numFmtId="0" fontId="39" fillId="26" borderId="14" applyNumberFormat="0" applyAlignment="0" applyProtection="0"/>
    <xf numFmtId="0" fontId="116" fillId="26" borderId="13" applyNumberFormat="0" applyAlignment="0" applyProtection="0"/>
    <xf numFmtId="0" fontId="116" fillId="26" borderId="13" applyNumberFormat="0" applyAlignment="0" applyProtection="0"/>
    <xf numFmtId="0" fontId="39" fillId="26" borderId="14" applyNumberFormat="0" applyAlignment="0" applyProtection="0"/>
    <xf numFmtId="0" fontId="39" fillId="26" borderId="14" applyNumberFormat="0" applyAlignment="0" applyProtection="0"/>
    <xf numFmtId="0" fontId="116" fillId="26" borderId="13" applyNumberFormat="0" applyAlignment="0" applyProtection="0"/>
    <xf numFmtId="0" fontId="116" fillId="26" borderId="13" applyNumberFormat="0" applyAlignment="0" applyProtection="0"/>
    <xf numFmtId="0" fontId="39" fillId="26" borderId="14" applyNumberFormat="0" applyAlignment="0" applyProtection="0"/>
    <xf numFmtId="0" fontId="116" fillId="26" borderId="13" applyNumberFormat="0" applyAlignment="0" applyProtection="0"/>
    <xf numFmtId="0" fontId="116" fillId="26" borderId="13" applyNumberFormat="0" applyAlignment="0" applyProtection="0"/>
    <xf numFmtId="0" fontId="39" fillId="26" borderId="14" applyNumberFormat="0" applyAlignment="0" applyProtection="0"/>
    <xf numFmtId="0" fontId="39" fillId="26" borderId="14" applyNumberFormat="0" applyAlignment="0" applyProtection="0"/>
    <xf numFmtId="0" fontId="116" fillId="26" borderId="13" applyNumberFormat="0" applyAlignment="0" applyProtection="0"/>
    <xf numFmtId="0" fontId="44" fillId="26" borderId="14" applyNumberFormat="0" applyAlignment="0" applyProtection="0"/>
    <xf numFmtId="0" fontId="44" fillId="26" borderId="14" applyNumberFormat="0" applyAlignment="0" applyProtection="0"/>
    <xf numFmtId="0" fontId="44" fillId="26" borderId="14" applyNumberFormat="0" applyAlignment="0" applyProtection="0"/>
    <xf numFmtId="0" fontId="44" fillId="26" borderId="14" applyNumberFormat="0" applyAlignment="0" applyProtection="0"/>
    <xf numFmtId="0" fontId="115" fillId="26" borderId="13" applyNumberFormat="0" applyAlignment="0" applyProtection="0"/>
    <xf numFmtId="0" fontId="115" fillId="26" borderId="13" applyNumberFormat="0" applyAlignment="0" applyProtection="0"/>
    <xf numFmtId="0" fontId="115" fillId="26" borderId="13" applyNumberFormat="0" applyAlignment="0" applyProtection="0"/>
    <xf numFmtId="0" fontId="44" fillId="26" borderId="14" applyNumberForma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87" fontId="88" fillId="0" borderId="0" applyBorder="0" applyProtection="0">
      <alignment/>
    </xf>
    <xf numFmtId="0" fontId="0" fillId="0" borderId="0">
      <alignment/>
      <protection/>
    </xf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6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9" fillId="0" borderId="16" applyNumberFormat="0" applyFill="0" applyAlignment="0" applyProtection="0"/>
    <xf numFmtId="0" fontId="32" fillId="0" borderId="16" applyNumberFormat="0" applyFill="0" applyAlignment="0" applyProtection="0"/>
    <xf numFmtId="0" fontId="40" fillId="0" borderId="17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40" fillId="0" borderId="17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32" fillId="0" borderId="16" applyNumberFormat="0" applyFill="0" applyAlignment="0" applyProtection="0"/>
    <xf numFmtId="0" fontId="26" fillId="0" borderId="18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7" fillId="0" borderId="19" applyNumberFormat="0" applyFill="0" applyAlignment="0" applyProtection="0"/>
    <xf numFmtId="0" fontId="78" fillId="0" borderId="19" applyNumberFormat="0" applyFill="0" applyAlignment="0" applyProtection="0"/>
    <xf numFmtId="0" fontId="78" fillId="0" borderId="19" applyNumberFormat="0" applyFill="0" applyAlignment="0" applyProtection="0"/>
    <xf numFmtId="0" fontId="77" fillId="0" borderId="19" applyNumberFormat="0" applyFill="0" applyAlignment="0" applyProtection="0"/>
    <xf numFmtId="0" fontId="33" fillId="0" borderId="19" applyNumberFormat="0" applyFill="0" applyAlignment="0" applyProtection="0"/>
    <xf numFmtId="0" fontId="28" fillId="0" borderId="20" applyNumberFormat="0" applyFill="0" applyAlignment="0" applyProtection="0"/>
    <xf numFmtId="0" fontId="41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41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33" fillId="0" borderId="19" applyNumberFormat="0" applyFill="0" applyAlignment="0" applyProtection="0"/>
    <xf numFmtId="0" fontId="78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8" fillId="0" borderId="19" applyNumberFormat="0" applyFill="0" applyAlignment="0" applyProtection="0"/>
    <xf numFmtId="0" fontId="78" fillId="0" borderId="19" applyNumberFormat="0" applyFill="0" applyAlignment="0" applyProtection="0"/>
    <xf numFmtId="0" fontId="44" fillId="0" borderId="21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4" fillId="0" borderId="21" applyNumberFormat="0" applyFill="0" applyAlignment="0" applyProtection="0"/>
    <xf numFmtId="0" fontId="34" fillId="0" borderId="21" applyNumberFormat="0" applyFill="0" applyAlignment="0" applyProtection="0"/>
    <xf numFmtId="0" fontId="42" fillId="0" borderId="22" applyNumberFormat="0" applyFill="0" applyAlignment="0" applyProtection="0"/>
    <xf numFmtId="0" fontId="34" fillId="0" borderId="21" applyNumberFormat="0" applyFill="0" applyAlignment="0" applyProtection="0"/>
    <xf numFmtId="0" fontId="34" fillId="0" borderId="21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4" fillId="0" borderId="21" applyNumberFormat="0" applyFill="0" applyAlignment="0" applyProtection="0"/>
    <xf numFmtId="0" fontId="34" fillId="0" borderId="21" applyNumberFormat="0" applyFill="0" applyAlignment="0" applyProtection="0"/>
    <xf numFmtId="0" fontId="42" fillId="0" borderId="22" applyNumberFormat="0" applyFill="0" applyAlignment="0" applyProtection="0"/>
    <xf numFmtId="0" fontId="34" fillId="0" borderId="21" applyNumberFormat="0" applyFill="0" applyAlignment="0" applyProtection="0"/>
    <xf numFmtId="0" fontId="34" fillId="0" borderId="21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4" fillId="0" borderId="21" applyNumberFormat="0" applyFill="0" applyAlignment="0" applyProtection="0"/>
    <xf numFmtId="0" fontId="27" fillId="0" borderId="23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24" applyNumberFormat="0" applyFill="0" applyAlignment="0" applyProtection="0"/>
    <xf numFmtId="0" fontId="121" fillId="0" borderId="25" applyNumberFormat="0" applyFill="0" applyAlignment="0" applyProtection="0"/>
    <xf numFmtId="0" fontId="121" fillId="0" borderId="25" applyNumberFormat="0" applyFill="0" applyAlignment="0" applyProtection="0"/>
    <xf numFmtId="0" fontId="121" fillId="0" borderId="24" applyNumberFormat="0" applyFill="0" applyAlignment="0" applyProtection="0"/>
    <xf numFmtId="0" fontId="122" fillId="0" borderId="24" applyNumberFormat="0" applyFill="0" applyAlignment="0" applyProtection="0"/>
    <xf numFmtId="0" fontId="22" fillId="0" borderId="26" applyNumberFormat="0" applyFill="0" applyAlignment="0" applyProtection="0"/>
    <xf numFmtId="0" fontId="22" fillId="0" borderId="26" applyNumberFormat="0" applyFill="0" applyAlignment="0" applyProtection="0"/>
    <xf numFmtId="0" fontId="122" fillId="0" borderId="25" applyNumberFormat="0" applyFill="0" applyAlignment="0" applyProtection="0"/>
    <xf numFmtId="0" fontId="122" fillId="0" borderId="24" applyNumberFormat="0" applyFill="0" applyAlignment="0" applyProtection="0"/>
    <xf numFmtId="0" fontId="122" fillId="0" borderId="24" applyNumberFormat="0" applyFill="0" applyAlignment="0" applyProtection="0"/>
    <xf numFmtId="0" fontId="122" fillId="0" borderId="25" applyNumberFormat="0" applyFill="0" applyAlignment="0" applyProtection="0"/>
    <xf numFmtId="0" fontId="122" fillId="0" borderId="25" applyNumberFormat="0" applyFill="0" applyAlignment="0" applyProtection="0"/>
    <xf numFmtId="0" fontId="122" fillId="0" borderId="24" applyNumberFormat="0" applyFill="0" applyAlignment="0" applyProtection="0"/>
    <xf numFmtId="0" fontId="122" fillId="0" borderId="24" applyNumberFormat="0" applyFill="0" applyAlignment="0" applyProtection="0"/>
    <xf numFmtId="0" fontId="122" fillId="0" borderId="25" applyNumberFormat="0" applyFill="0" applyAlignment="0" applyProtection="0"/>
    <xf numFmtId="0" fontId="122" fillId="0" borderId="24" applyNumberFormat="0" applyFill="0" applyAlignment="0" applyProtection="0"/>
    <xf numFmtId="0" fontId="122" fillId="0" borderId="24" applyNumberFormat="0" applyFill="0" applyAlignment="0" applyProtection="0"/>
    <xf numFmtId="0" fontId="122" fillId="0" borderId="25" applyNumberFormat="0" applyFill="0" applyAlignment="0" applyProtection="0"/>
    <xf numFmtId="0" fontId="122" fillId="0" borderId="25" applyNumberFormat="0" applyFill="0" applyAlignment="0" applyProtection="0"/>
    <xf numFmtId="0" fontId="122" fillId="0" borderId="24" applyNumberFormat="0" applyFill="0" applyAlignment="0" applyProtection="0"/>
    <xf numFmtId="0" fontId="121" fillId="0" borderId="25" applyNumberFormat="0" applyFill="0" applyAlignment="0" applyProtection="0"/>
    <xf numFmtId="0" fontId="121" fillId="0" borderId="24" applyNumberFormat="0" applyFill="0" applyAlignment="0" applyProtection="0"/>
    <xf numFmtId="0" fontId="121" fillId="0" borderId="24" applyNumberFormat="0" applyFill="0" applyAlignment="0" applyProtection="0"/>
    <xf numFmtId="0" fontId="121" fillId="0" borderId="24" applyNumberFormat="0" applyFill="0" applyAlignment="0" applyProtection="0"/>
    <xf numFmtId="0" fontId="121" fillId="0" borderId="25" applyNumberFormat="0" applyFill="0" applyAlignment="0" applyProtection="0"/>
    <xf numFmtId="0" fontId="121" fillId="0" borderId="25" applyNumberFormat="0" applyFill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2" fontId="3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2" fontId="3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3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</cellStyleXfs>
  <cellXfs count="286">
    <xf numFmtId="0" fontId="0" fillId="0" borderId="0" xfId="0" applyAlignment="1">
      <alignment/>
    </xf>
    <xf numFmtId="49" fontId="1" fillId="11" borderId="27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justify" vertical="center"/>
    </xf>
    <xf numFmtId="175" fontId="0" fillId="0" borderId="0" xfId="1157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1" fillId="11" borderId="27" xfId="0" applyNumberFormat="1" applyFont="1" applyFill="1" applyBorder="1" applyAlignment="1">
      <alignment horizontal="center" vertical="center"/>
    </xf>
    <xf numFmtId="0" fontId="1" fillId="11" borderId="28" xfId="0" applyFont="1" applyFill="1" applyBorder="1" applyAlignment="1">
      <alignment horizontal="justify" vertical="center" wrapText="1"/>
    </xf>
    <xf numFmtId="175" fontId="1" fillId="11" borderId="27" xfId="1157" applyFont="1" applyFill="1" applyBorder="1" applyAlignment="1">
      <alignment horizontal="right" wrapText="1"/>
    </xf>
    <xf numFmtId="0" fontId="1" fillId="0" borderId="0" xfId="0" applyFont="1" applyFill="1" applyAlignment="1">
      <alignment vertical="center"/>
    </xf>
    <xf numFmtId="49" fontId="0" fillId="0" borderId="29" xfId="0" applyNumberFormat="1" applyFont="1" applyFill="1" applyBorder="1" applyAlignment="1">
      <alignment horizontal="right" wrapText="1"/>
    </xf>
    <xf numFmtId="0" fontId="0" fillId="0" borderId="29" xfId="0" applyFont="1" applyFill="1" applyBorder="1" applyAlignment="1">
      <alignment horizontal="left" wrapText="1"/>
    </xf>
    <xf numFmtId="175" fontId="1" fillId="0" borderId="30" xfId="1157" applyFont="1" applyFill="1" applyBorder="1" applyAlignment="1">
      <alignment horizontal="right"/>
    </xf>
    <xf numFmtId="49" fontId="1" fillId="0" borderId="31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justify" vertical="center" wrapText="1"/>
    </xf>
    <xf numFmtId="175" fontId="1" fillId="0" borderId="31" xfId="1157" applyFont="1" applyFill="1" applyBorder="1" applyAlignment="1">
      <alignment horizontal="right" wrapText="1"/>
    </xf>
    <xf numFmtId="49" fontId="1" fillId="11" borderId="27" xfId="0" applyNumberFormat="1" applyFont="1" applyFill="1" applyBorder="1" applyAlignment="1">
      <alignment horizontal="right" wrapText="1"/>
    </xf>
    <xf numFmtId="0" fontId="1" fillId="11" borderId="27" xfId="0" applyFont="1" applyFill="1" applyBorder="1" applyAlignment="1">
      <alignment horizontal="left" wrapText="1"/>
    </xf>
    <xf numFmtId="175" fontId="7" fillId="11" borderId="27" xfId="1157" applyFont="1" applyFill="1" applyBorder="1" applyAlignment="1">
      <alignment horizontal="right" wrapText="1"/>
    </xf>
    <xf numFmtId="0" fontId="0" fillId="0" borderId="33" xfId="0" applyFont="1" applyFill="1" applyBorder="1" applyAlignment="1">
      <alignment horizontal="right" wrapText="1"/>
    </xf>
    <xf numFmtId="0" fontId="0" fillId="0" borderId="34" xfId="0" applyFont="1" applyFill="1" applyBorder="1" applyAlignment="1">
      <alignment horizontal="left" wrapText="1"/>
    </xf>
    <xf numFmtId="175" fontId="0" fillId="0" borderId="35" xfId="1157" applyFont="1" applyFill="1" applyBorder="1" applyAlignment="1">
      <alignment horizontal="right" wrapText="1"/>
    </xf>
    <xf numFmtId="175" fontId="8" fillId="11" borderId="27" xfId="1157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1" fillId="0" borderId="39" xfId="0" applyFont="1" applyFill="1" applyBorder="1" applyAlignment="1">
      <alignment horizontal="left"/>
    </xf>
    <xf numFmtId="0" fontId="4" fillId="0" borderId="40" xfId="0" applyFont="1" applyFill="1" applyBorder="1" applyAlignment="1">
      <alignment horizontal="center"/>
    </xf>
    <xf numFmtId="0" fontId="1" fillId="0" borderId="41" xfId="0" applyFont="1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27" xfId="0" applyBorder="1" applyAlignment="1">
      <alignment/>
    </xf>
    <xf numFmtId="175" fontId="0" fillId="0" borderId="27" xfId="1157" applyFont="1" applyBorder="1" applyAlignment="1">
      <alignment/>
    </xf>
    <xf numFmtId="4" fontId="52" fillId="0" borderId="44" xfId="0" applyNumberFormat="1" applyFont="1" applyBorder="1" applyAlignment="1">
      <alignment horizontal="left" wrapText="1"/>
    </xf>
    <xf numFmtId="0" fontId="31" fillId="0" borderId="0" xfId="0" applyFont="1" applyAlignment="1">
      <alignment/>
    </xf>
    <xf numFmtId="0" fontId="31" fillId="0" borderId="0" xfId="0" applyFont="1" applyBorder="1" applyAlignment="1">
      <alignment/>
    </xf>
    <xf numFmtId="0" fontId="79" fillId="0" borderId="0" xfId="0" applyFont="1" applyFill="1" applyAlignment="1">
      <alignment/>
    </xf>
    <xf numFmtId="0" fontId="79" fillId="0" borderId="0" xfId="0" applyFont="1" applyAlignment="1">
      <alignment/>
    </xf>
    <xf numFmtId="0" fontId="79" fillId="43" borderId="0" xfId="0" applyFont="1" applyFill="1" applyBorder="1" applyAlignment="1">
      <alignment horizontal="center" vertical="center"/>
    </xf>
    <xf numFmtId="39" fontId="79" fillId="0" borderId="0" xfId="0" applyNumberFormat="1" applyFont="1" applyBorder="1" applyAlignment="1">
      <alignment/>
    </xf>
    <xf numFmtId="0" fontId="79" fillId="0" borderId="0" xfId="0" applyFont="1" applyBorder="1" applyAlignment="1">
      <alignment/>
    </xf>
    <xf numFmtId="0" fontId="79" fillId="0" borderId="0" xfId="0" applyFont="1" applyBorder="1" applyAlignment="1">
      <alignment horizontal="center" vertical="center"/>
    </xf>
    <xf numFmtId="0" fontId="79" fillId="0" borderId="0" xfId="0" applyFont="1" applyBorder="1" applyAlignment="1">
      <alignment vertical="center"/>
    </xf>
    <xf numFmtId="10" fontId="79" fillId="0" borderId="0" xfId="0" applyNumberFormat="1" applyFont="1" applyBorder="1" applyAlignment="1">
      <alignment vertical="center"/>
    </xf>
    <xf numFmtId="0" fontId="80" fillId="0" borderId="0" xfId="0" applyFont="1" applyBorder="1" applyAlignment="1">
      <alignment horizontal="center" vertical="center" wrapText="1"/>
    </xf>
    <xf numFmtId="39" fontId="79" fillId="0" borderId="0" xfId="0" applyNumberFormat="1" applyFont="1" applyFill="1" applyBorder="1" applyAlignment="1">
      <alignment/>
    </xf>
    <xf numFmtId="0" fontId="80" fillId="0" borderId="0" xfId="0" applyFont="1" applyBorder="1" applyAlignment="1">
      <alignment horizontal="center" vertical="center"/>
    </xf>
    <xf numFmtId="0" fontId="79" fillId="0" borderId="0" xfId="0" applyFont="1" applyFill="1" applyAlignment="1">
      <alignment wrapText="1"/>
    </xf>
    <xf numFmtId="49" fontId="81" fillId="0" borderId="45" xfId="0" applyNumberFormat="1" applyFont="1" applyBorder="1" applyAlignment="1">
      <alignment horizontal="left" vertical="center"/>
    </xf>
    <xf numFmtId="49" fontId="79" fillId="0" borderId="27" xfId="0" applyNumberFormat="1" applyFont="1" applyBorder="1" applyAlignment="1">
      <alignment horizontal="left" vertical="center"/>
    </xf>
    <xf numFmtId="49" fontId="79" fillId="0" borderId="45" xfId="0" applyNumberFormat="1" applyFont="1" applyFill="1" applyBorder="1" applyAlignment="1">
      <alignment horizontal="justify" vertical="top"/>
    </xf>
    <xf numFmtId="192" fontId="79" fillId="0" borderId="27" xfId="0" applyNumberFormat="1" applyFont="1" applyFill="1" applyBorder="1" applyAlignment="1">
      <alignment horizontal="left" vertical="top" wrapText="1"/>
    </xf>
    <xf numFmtId="4" fontId="79" fillId="0" borderId="0" xfId="0" applyNumberFormat="1" applyFont="1" applyFill="1" applyBorder="1" applyAlignment="1">
      <alignment/>
    </xf>
    <xf numFmtId="49" fontId="79" fillId="0" borderId="27" xfId="0" applyNumberFormat="1" applyFont="1" applyFill="1" applyBorder="1" applyAlignment="1">
      <alignment horizontal="left" vertical="top" wrapText="1"/>
    </xf>
    <xf numFmtId="49" fontId="79" fillId="0" borderId="45" xfId="0" applyNumberFormat="1" applyFont="1" applyFill="1" applyBorder="1" applyAlignment="1">
      <alignment horizontal="justify" vertical="top" wrapText="1"/>
    </xf>
    <xf numFmtId="49" fontId="79" fillId="0" borderId="45" xfId="0" applyNumberFormat="1" applyFont="1" applyBorder="1" applyAlignment="1">
      <alignment horizontal="left" vertical="center"/>
    </xf>
    <xf numFmtId="49" fontId="79" fillId="0" borderId="27" xfId="0" applyNumberFormat="1" applyFont="1" applyFill="1" applyBorder="1" applyAlignment="1">
      <alignment horizontal="left" vertical="top"/>
    </xf>
    <xf numFmtId="49" fontId="81" fillId="11" borderId="45" xfId="0" applyNumberFormat="1" applyFont="1" applyFill="1" applyBorder="1" applyAlignment="1">
      <alignment horizontal="justify" vertical="top"/>
    </xf>
    <xf numFmtId="49" fontId="81" fillId="11" borderId="27" xfId="0" applyNumberFormat="1" applyFont="1" applyFill="1" applyBorder="1" applyAlignment="1">
      <alignment horizontal="left" vertical="top"/>
    </xf>
    <xf numFmtId="175" fontId="81" fillId="11" borderId="27" xfId="1157" applyFont="1" applyFill="1" applyBorder="1" applyAlignment="1">
      <alignment horizontal="justify" vertical="top"/>
    </xf>
    <xf numFmtId="49" fontId="81" fillId="0" borderId="45" xfId="0" applyNumberFormat="1" applyFont="1" applyFill="1" applyBorder="1" applyAlignment="1">
      <alignment horizontal="justify" vertical="top"/>
    </xf>
    <xf numFmtId="0" fontId="79" fillId="26" borderId="27" xfId="0" applyFont="1" applyFill="1" applyBorder="1" applyAlignment="1">
      <alignment horizontal="left" vertical="top" wrapText="1"/>
    </xf>
    <xf numFmtId="2" fontId="79" fillId="0" borderId="27" xfId="0" applyNumberFormat="1" applyFont="1" applyFill="1" applyBorder="1" applyAlignment="1">
      <alignment horizontal="left" vertical="top"/>
    </xf>
    <xf numFmtId="0" fontId="79" fillId="0" borderId="27" xfId="0" applyFont="1" applyFill="1" applyBorder="1" applyAlignment="1">
      <alignment horizontal="left" vertical="top" wrapText="1"/>
    </xf>
    <xf numFmtId="1" fontId="56" fillId="0" borderId="27" xfId="685" applyNumberFormat="1" applyFont="1" applyFill="1" applyBorder="1" applyAlignment="1">
      <alignment horizontal="left" vertical="center"/>
      <protection/>
    </xf>
    <xf numFmtId="49" fontId="79" fillId="0" borderId="46" xfId="0" applyNumberFormat="1" applyFont="1" applyFill="1" applyBorder="1" applyAlignment="1">
      <alignment horizontal="justify" vertical="top"/>
    </xf>
    <xf numFmtId="0" fontId="79" fillId="0" borderId="47" xfId="0" applyFont="1" applyFill="1" applyBorder="1" applyAlignment="1">
      <alignment horizontal="left" vertical="top"/>
    </xf>
    <xf numFmtId="175" fontId="81" fillId="0" borderId="47" xfId="1157" applyFont="1" applyBorder="1" applyAlignment="1">
      <alignment/>
    </xf>
    <xf numFmtId="0" fontId="79" fillId="0" borderId="0" xfId="0" applyFont="1" applyAlignment="1">
      <alignment horizontal="center"/>
    </xf>
    <xf numFmtId="0" fontId="79" fillId="0" borderId="0" xfId="0" applyFont="1" applyFill="1" applyBorder="1" applyAlignment="1">
      <alignment horizontal="right"/>
    </xf>
    <xf numFmtId="39" fontId="79" fillId="0" borderId="0" xfId="0" applyNumberFormat="1" applyFont="1" applyFill="1" applyAlignment="1">
      <alignment/>
    </xf>
    <xf numFmtId="49" fontId="79" fillId="0" borderId="0" xfId="0" applyNumberFormat="1" applyFont="1" applyFill="1" applyAlignment="1">
      <alignment horizontal="justify" vertical="top"/>
    </xf>
    <xf numFmtId="0" fontId="79" fillId="0" borderId="0" xfId="0" applyFont="1" applyFill="1" applyAlignment="1">
      <alignment horizontal="right"/>
    </xf>
    <xf numFmtId="39" fontId="79" fillId="0" borderId="0" xfId="0" applyNumberFormat="1" applyFont="1" applyFill="1" applyAlignment="1">
      <alignment horizontal="center"/>
    </xf>
    <xf numFmtId="191" fontId="79" fillId="0" borderId="0" xfId="0" applyNumberFormat="1" applyFont="1" applyFill="1" applyAlignment="1">
      <alignment horizontal="center"/>
    </xf>
    <xf numFmtId="0" fontId="79" fillId="0" borderId="0" xfId="0" applyFont="1" applyFill="1" applyAlignment="1">
      <alignment horizontal="justify" vertical="top"/>
    </xf>
    <xf numFmtId="182" fontId="79" fillId="0" borderId="0" xfId="0" applyNumberFormat="1" applyFont="1" applyAlignment="1">
      <alignment horizontal="center"/>
    </xf>
    <xf numFmtId="175" fontId="81" fillId="11" borderId="48" xfId="1157" applyFont="1" applyFill="1" applyBorder="1" applyAlignment="1">
      <alignment horizontal="justify" vertical="top"/>
    </xf>
    <xf numFmtId="175" fontId="81" fillId="0" borderId="49" xfId="1157" applyFont="1" applyBorder="1" applyAlignment="1">
      <alignment/>
    </xf>
    <xf numFmtId="0" fontId="82" fillId="0" borderId="34" xfId="685" applyFont="1" applyBorder="1" applyAlignment="1">
      <alignment/>
      <protection/>
    </xf>
    <xf numFmtId="0" fontId="82" fillId="0" borderId="35" xfId="685" applyFont="1" applyBorder="1" applyAlignment="1">
      <alignment/>
      <protection/>
    </xf>
    <xf numFmtId="0" fontId="82" fillId="0" borderId="0" xfId="685" applyFont="1" applyBorder="1" applyAlignment="1">
      <alignment/>
      <protection/>
    </xf>
    <xf numFmtId="0" fontId="82" fillId="0" borderId="50" xfId="685" applyFont="1" applyBorder="1" applyAlignment="1">
      <alignment/>
      <protection/>
    </xf>
    <xf numFmtId="0" fontId="82" fillId="0" borderId="51" xfId="685" applyFont="1" applyBorder="1" applyAlignment="1">
      <alignment/>
      <protection/>
    </xf>
    <xf numFmtId="0" fontId="82" fillId="0" borderId="52" xfId="685" applyFont="1" applyBorder="1" applyAlignment="1">
      <alignment/>
      <protection/>
    </xf>
    <xf numFmtId="0" fontId="123" fillId="0" borderId="27" xfId="733" applyFont="1" applyBorder="1">
      <alignment/>
      <protection/>
    </xf>
    <xf numFmtId="0" fontId="124" fillId="0" borderId="27" xfId="733" applyFont="1" applyBorder="1" applyAlignment="1">
      <alignment horizontal="center"/>
      <protection/>
    </xf>
    <xf numFmtId="0" fontId="123" fillId="0" borderId="27" xfId="733" applyFont="1" applyBorder="1" applyAlignment="1">
      <alignment horizontal="center"/>
      <protection/>
    </xf>
    <xf numFmtId="4" fontId="123" fillId="0" borderId="27" xfId="733" applyNumberFormat="1" applyFont="1" applyBorder="1" applyAlignment="1">
      <alignment horizontal="center"/>
      <protection/>
    </xf>
    <xf numFmtId="0" fontId="124" fillId="0" borderId="27" xfId="733" applyFont="1" applyBorder="1" applyAlignment="1">
      <alignment horizontal="left"/>
      <protection/>
    </xf>
    <xf numFmtId="4" fontId="124" fillId="0" borderId="27" xfId="733" applyNumberFormat="1" applyFont="1" applyBorder="1" applyAlignment="1">
      <alignment horizontal="center"/>
      <protection/>
    </xf>
    <xf numFmtId="0" fontId="124" fillId="0" borderId="27" xfId="733" applyFont="1" applyBorder="1" applyAlignment="1">
      <alignment horizontal="left" wrapText="1"/>
      <protection/>
    </xf>
    <xf numFmtId="0" fontId="124" fillId="0" borderId="27" xfId="733" applyFont="1" applyBorder="1">
      <alignment/>
      <protection/>
    </xf>
    <xf numFmtId="0" fontId="124" fillId="0" borderId="27" xfId="733" applyFont="1" applyBorder="1" applyAlignment="1">
      <alignment horizontal="right"/>
      <protection/>
    </xf>
    <xf numFmtId="0" fontId="56" fillId="0" borderId="33" xfId="685" applyFont="1" applyBorder="1" applyAlignment="1">
      <alignment/>
      <protection/>
    </xf>
    <xf numFmtId="0" fontId="56" fillId="0" borderId="32" xfId="685" applyFont="1" applyBorder="1" applyAlignment="1">
      <alignment/>
      <protection/>
    </xf>
    <xf numFmtId="0" fontId="56" fillId="0" borderId="53" xfId="685" applyFont="1" applyBorder="1" applyAlignment="1">
      <alignment/>
      <protection/>
    </xf>
    <xf numFmtId="49" fontId="81" fillId="43" borderId="54" xfId="0" applyNumberFormat="1" applyFont="1" applyFill="1" applyBorder="1" applyAlignment="1">
      <alignment horizontal="justify" vertical="top"/>
    </xf>
    <xf numFmtId="0" fontId="81" fillId="0" borderId="55" xfId="0" applyFont="1" applyFill="1" applyBorder="1" applyAlignment="1">
      <alignment horizontal="center" vertical="center" wrapText="1"/>
    </xf>
    <xf numFmtId="0" fontId="81" fillId="0" borderId="55" xfId="0" applyFont="1" applyBorder="1" applyAlignment="1">
      <alignment horizontal="center" vertical="center" wrapText="1"/>
    </xf>
    <xf numFmtId="39" fontId="79" fillId="0" borderId="55" xfId="0" applyNumberFormat="1" applyFont="1" applyFill="1" applyBorder="1" applyAlignment="1">
      <alignment horizontal="center" vertical="center" wrapText="1"/>
    </xf>
    <xf numFmtId="39" fontId="81" fillId="0" borderId="56" xfId="0" applyNumberFormat="1" applyFont="1" applyFill="1" applyBorder="1" applyAlignment="1">
      <alignment horizontal="center" vertical="center" wrapText="1"/>
    </xf>
    <xf numFmtId="0" fontId="81" fillId="0" borderId="27" xfId="0" applyFont="1" applyBorder="1" applyAlignment="1">
      <alignment vertical="center"/>
    </xf>
    <xf numFmtId="0" fontId="79" fillId="0" borderId="27" xfId="0" applyFont="1" applyBorder="1" applyAlignment="1">
      <alignment horizontal="right"/>
    </xf>
    <xf numFmtId="49" fontId="81" fillId="43" borderId="57" xfId="0" applyNumberFormat="1" applyFont="1" applyFill="1" applyBorder="1" applyAlignment="1">
      <alignment horizontal="justify" vertical="top"/>
    </xf>
    <xf numFmtId="0" fontId="81" fillId="0" borderId="58" xfId="0" applyFont="1" applyFill="1" applyBorder="1" applyAlignment="1">
      <alignment horizontal="center" vertical="center" wrapText="1"/>
    </xf>
    <xf numFmtId="0" fontId="81" fillId="0" borderId="58" xfId="0" applyFont="1" applyBorder="1" applyAlignment="1">
      <alignment horizontal="center" vertical="center" wrapText="1"/>
    </xf>
    <xf numFmtId="39" fontId="79" fillId="0" borderId="58" xfId="0" applyNumberFormat="1" applyFont="1" applyFill="1" applyBorder="1" applyAlignment="1">
      <alignment horizontal="center" vertical="center" wrapText="1"/>
    </xf>
    <xf numFmtId="39" fontId="81" fillId="0" borderId="59" xfId="0" applyNumberFormat="1" applyFont="1" applyFill="1" applyBorder="1" applyAlignment="1">
      <alignment horizontal="center" vertical="center" wrapText="1"/>
    </xf>
    <xf numFmtId="175" fontId="79" fillId="0" borderId="27" xfId="1157" applyFont="1" applyFill="1" applyBorder="1" applyAlignment="1">
      <alignment horizontal="left" vertical="top" wrapText="1"/>
    </xf>
    <xf numFmtId="175" fontId="81" fillId="11" borderId="27" xfId="1157" applyFont="1" applyFill="1" applyBorder="1" applyAlignment="1">
      <alignment horizontal="left" vertical="top"/>
    </xf>
    <xf numFmtId="175" fontId="79" fillId="0" borderId="27" xfId="1157" applyFont="1" applyFill="1" applyBorder="1" applyAlignment="1">
      <alignment horizontal="left" vertical="top"/>
    </xf>
    <xf numFmtId="175" fontId="79" fillId="26" borderId="27" xfId="1157" applyFont="1" applyFill="1" applyBorder="1" applyAlignment="1">
      <alignment horizontal="left" vertical="top" wrapText="1"/>
    </xf>
    <xf numFmtId="175" fontId="56" fillId="0" borderId="27" xfId="1157" applyFont="1" applyFill="1" applyBorder="1" applyAlignment="1">
      <alignment horizontal="left" vertical="center"/>
    </xf>
    <xf numFmtId="49" fontId="81" fillId="0" borderId="27" xfId="0" applyNumberFormat="1" applyFont="1" applyBorder="1" applyAlignment="1">
      <alignment horizontal="left" vertical="center"/>
    </xf>
    <xf numFmtId="49" fontId="81" fillId="44" borderId="27" xfId="0" applyNumberFormat="1" applyFont="1" applyFill="1" applyBorder="1" applyAlignment="1">
      <alignment horizontal="left" vertical="center"/>
    </xf>
    <xf numFmtId="175" fontId="81" fillId="44" borderId="27" xfId="1157" applyFont="1" applyFill="1" applyBorder="1" applyAlignment="1">
      <alignment horizontal="left" vertical="center"/>
    </xf>
    <xf numFmtId="0" fontId="81" fillId="0" borderId="0" xfId="0" applyFont="1" applyFill="1" applyAlignment="1">
      <alignment/>
    </xf>
    <xf numFmtId="4" fontId="81" fillId="0" borderId="0" xfId="0" applyNumberFormat="1" applyFont="1" applyFill="1" applyBorder="1" applyAlignment="1">
      <alignment/>
    </xf>
    <xf numFmtId="175" fontId="81" fillId="0" borderId="27" xfId="1157" applyFont="1" applyBorder="1" applyAlignment="1">
      <alignment horizontal="left" vertical="center"/>
    </xf>
    <xf numFmtId="0" fontId="81" fillId="0" borderId="0" xfId="0" applyFont="1" applyFill="1" applyAlignment="1">
      <alignment/>
    </xf>
    <xf numFmtId="175" fontId="81" fillId="44" borderId="27" xfId="1157" applyFont="1" applyFill="1" applyBorder="1" applyAlignment="1">
      <alignment horizontal="left" vertical="top" wrapText="1"/>
    </xf>
    <xf numFmtId="43" fontId="79" fillId="0" borderId="0" xfId="0" applyNumberFormat="1" applyFont="1" applyFill="1" applyAlignment="1">
      <alignment/>
    </xf>
    <xf numFmtId="0" fontId="125" fillId="45" borderId="60" xfId="0" applyFont="1" applyFill="1" applyBorder="1" applyAlignment="1">
      <alignment horizontal="left" vertical="top" wrapText="1"/>
    </xf>
    <xf numFmtId="0" fontId="126" fillId="46" borderId="60" xfId="0" applyFont="1" applyFill="1" applyBorder="1" applyAlignment="1">
      <alignment horizontal="left" vertical="top" wrapText="1"/>
    </xf>
    <xf numFmtId="0" fontId="81" fillId="11" borderId="27" xfId="0" applyNumberFormat="1" applyFont="1" applyFill="1" applyBorder="1" applyAlignment="1">
      <alignment horizontal="left" vertical="top"/>
    </xf>
    <xf numFmtId="0" fontId="81" fillId="0" borderId="27" xfId="0" applyNumberFormat="1" applyFont="1" applyBorder="1" applyAlignment="1">
      <alignment horizontal="left" vertical="center"/>
    </xf>
    <xf numFmtId="0" fontId="79" fillId="0" borderId="27" xfId="0" applyNumberFormat="1" applyFont="1" applyFill="1" applyBorder="1" applyAlignment="1">
      <alignment horizontal="left" vertical="top" wrapText="1"/>
    </xf>
    <xf numFmtId="0" fontId="79" fillId="0" borderId="27" xfId="0" applyNumberFormat="1" applyFont="1" applyBorder="1" applyAlignment="1">
      <alignment horizontal="left" vertical="center"/>
    </xf>
    <xf numFmtId="0" fontId="81" fillId="44" borderId="27" xfId="0" applyNumberFormat="1" applyFont="1" applyFill="1" applyBorder="1" applyAlignment="1">
      <alignment horizontal="left" vertical="center"/>
    </xf>
    <xf numFmtId="0" fontId="0" fillId="0" borderId="27" xfId="0" applyNumberFormat="1" applyBorder="1" applyAlignment="1">
      <alignment horizontal="left" vertical="center"/>
    </xf>
    <xf numFmtId="0" fontId="79" fillId="0" borderId="27" xfId="0" applyNumberFormat="1" applyFont="1" applyFill="1" applyBorder="1" applyAlignment="1">
      <alignment horizontal="left" vertical="top"/>
    </xf>
    <xf numFmtId="0" fontId="79" fillId="43" borderId="27" xfId="0" applyNumberFormat="1" applyFont="1" applyFill="1" applyBorder="1" applyAlignment="1">
      <alignment horizontal="left" vertical="center"/>
    </xf>
    <xf numFmtId="0" fontId="79" fillId="26" borderId="27" xfId="0" applyNumberFormat="1" applyFont="1" applyFill="1" applyBorder="1" applyAlignment="1">
      <alignment horizontal="left" vertical="top" wrapText="1"/>
    </xf>
    <xf numFmtId="0" fontId="79" fillId="43" borderId="27" xfId="0" applyNumberFormat="1" applyFont="1" applyFill="1" applyBorder="1" applyAlignment="1">
      <alignment horizontal="left" vertical="top"/>
    </xf>
    <xf numFmtId="0" fontId="56" fillId="0" borderId="27" xfId="685" applyNumberFormat="1" applyFont="1" applyFill="1" applyBorder="1" applyAlignment="1">
      <alignment horizontal="left" vertical="center"/>
      <protection/>
    </xf>
    <xf numFmtId="0" fontId="79" fillId="0" borderId="47" xfId="0" applyNumberFormat="1" applyFont="1" applyFill="1" applyBorder="1" applyAlignment="1">
      <alignment horizontal="left" vertical="top"/>
    </xf>
    <xf numFmtId="49" fontId="79" fillId="47" borderId="27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52" fillId="0" borderId="0" xfId="0" applyFont="1" applyFill="1" applyBorder="1" applyAlignment="1">
      <alignment horizontal="left" wrapText="1"/>
    </xf>
    <xf numFmtId="0" fontId="54" fillId="0" borderId="61" xfId="0" applyFont="1" applyBorder="1" applyAlignment="1">
      <alignment horizontal="center" wrapText="1"/>
    </xf>
    <xf numFmtId="0" fontId="54" fillId="0" borderId="62" xfId="0" applyFont="1" applyBorder="1" applyAlignment="1">
      <alignment horizontal="center" wrapText="1"/>
    </xf>
    <xf numFmtId="0" fontId="0" fillId="0" borderId="27" xfId="0" applyFont="1" applyBorder="1" applyAlignment="1">
      <alignment/>
    </xf>
    <xf numFmtId="0" fontId="0" fillId="0" borderId="27" xfId="0" applyFont="1" applyBorder="1" applyAlignment="1">
      <alignment wrapText="1"/>
    </xf>
    <xf numFmtId="49" fontId="79" fillId="43" borderId="27" xfId="0" applyNumberFormat="1" applyFont="1" applyFill="1" applyBorder="1" applyAlignment="1">
      <alignment horizontal="left" vertical="top" wrapText="1"/>
    </xf>
    <xf numFmtId="175" fontId="79" fillId="43" borderId="27" xfId="1157" applyFont="1" applyFill="1" applyBorder="1" applyAlignment="1">
      <alignment horizontal="left" vertical="top" wrapText="1"/>
    </xf>
    <xf numFmtId="175" fontId="0" fillId="0" borderId="0" xfId="0" applyNumberFormat="1" applyAlignment="1">
      <alignment/>
    </xf>
    <xf numFmtId="43" fontId="0" fillId="0" borderId="27" xfId="0" applyNumberFormat="1" applyBorder="1" applyAlignment="1">
      <alignment/>
    </xf>
    <xf numFmtId="43" fontId="0" fillId="0" borderId="27" xfId="0" applyNumberFormat="1" applyFont="1" applyBorder="1" applyAlignment="1">
      <alignment/>
    </xf>
    <xf numFmtId="192" fontId="81" fillId="44" borderId="27" xfId="0" applyNumberFormat="1" applyFont="1" applyFill="1" applyBorder="1" applyAlignment="1">
      <alignment horizontal="left" vertical="top" wrapText="1"/>
    </xf>
    <xf numFmtId="0" fontId="126" fillId="43" borderId="60" xfId="0" applyFont="1" applyFill="1" applyBorder="1" applyAlignment="1">
      <alignment horizontal="left" vertical="top" wrapText="1"/>
    </xf>
    <xf numFmtId="49" fontId="79" fillId="48" borderId="27" xfId="0" applyNumberFormat="1" applyFont="1" applyFill="1" applyBorder="1" applyAlignment="1">
      <alignment horizontal="left" vertical="top"/>
    </xf>
    <xf numFmtId="0" fontId="126" fillId="43" borderId="27" xfId="0" applyFont="1" applyFill="1" applyBorder="1" applyAlignment="1">
      <alignment horizontal="left" vertical="top" wrapText="1"/>
    </xf>
    <xf numFmtId="2" fontId="79" fillId="0" borderId="27" xfId="0" applyNumberFormat="1" applyFont="1" applyBorder="1" applyAlignment="1">
      <alignment horizontal="left" vertical="top"/>
    </xf>
    <xf numFmtId="0" fontId="0" fillId="0" borderId="27" xfId="0" applyBorder="1" applyAlignment="1">
      <alignment horizontal="left" vertical="center"/>
    </xf>
    <xf numFmtId="0" fontId="79" fillId="0" borderId="27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79" fillId="47" borderId="27" xfId="0" applyNumberFormat="1" applyFont="1" applyFill="1" applyBorder="1" applyAlignment="1">
      <alignment horizontal="left" vertical="top"/>
    </xf>
    <xf numFmtId="49" fontId="79" fillId="47" borderId="27" xfId="0" applyNumberFormat="1" applyFont="1" applyFill="1" applyBorder="1" applyAlignment="1">
      <alignment horizontal="left" vertical="center"/>
    </xf>
    <xf numFmtId="0" fontId="79" fillId="47" borderId="27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1" fillId="11" borderId="27" xfId="0" applyFont="1" applyFill="1" applyBorder="1" applyAlignment="1">
      <alignment horizontal="left" vertical="top"/>
    </xf>
    <xf numFmtId="0" fontId="81" fillId="0" borderId="27" xfId="0" applyFont="1" applyBorder="1" applyAlignment="1">
      <alignment horizontal="left" vertical="center"/>
    </xf>
    <xf numFmtId="0" fontId="79" fillId="0" borderId="27" xfId="0" applyFont="1" applyBorder="1" applyAlignment="1">
      <alignment horizontal="left" vertical="top"/>
    </xf>
    <xf numFmtId="0" fontId="79" fillId="43" borderId="27" xfId="0" applyFont="1" applyFill="1" applyBorder="1" applyAlignment="1">
      <alignment horizontal="left" vertical="top"/>
    </xf>
    <xf numFmtId="175" fontId="81" fillId="11" borderId="27" xfId="1157" applyFont="1" applyFill="1" applyBorder="1" applyAlignment="1">
      <alignment horizontal="center" vertical="top"/>
    </xf>
    <xf numFmtId="192" fontId="81" fillId="44" borderId="27" xfId="0" applyNumberFormat="1" applyFont="1" applyFill="1" applyBorder="1" applyAlignment="1">
      <alignment horizontal="center" vertical="top" wrapText="1"/>
    </xf>
    <xf numFmtId="192" fontId="79" fillId="0" borderId="27" xfId="0" applyNumberFormat="1" applyFont="1" applyFill="1" applyBorder="1" applyAlignment="1">
      <alignment horizontal="center" vertical="top" wrapText="1"/>
    </xf>
    <xf numFmtId="49" fontId="79" fillId="0" borderId="27" xfId="0" applyNumberFormat="1" applyFont="1" applyFill="1" applyBorder="1" applyAlignment="1">
      <alignment horizontal="center" vertical="top" wrapText="1"/>
    </xf>
    <xf numFmtId="49" fontId="81" fillId="11" borderId="27" xfId="0" applyNumberFormat="1" applyFont="1" applyFill="1" applyBorder="1" applyAlignment="1">
      <alignment horizontal="center" vertical="top"/>
    </xf>
    <xf numFmtId="49" fontId="81" fillId="44" borderId="27" xfId="0" applyNumberFormat="1" applyFont="1" applyFill="1" applyBorder="1" applyAlignment="1">
      <alignment horizontal="center" vertical="center"/>
    </xf>
    <xf numFmtId="49" fontId="79" fillId="0" borderId="27" xfId="0" applyNumberFormat="1" applyFont="1" applyFill="1" applyBorder="1" applyAlignment="1">
      <alignment horizontal="center" vertical="top"/>
    </xf>
    <xf numFmtId="0" fontId="79" fillId="26" borderId="27" xfId="0" applyFont="1" applyFill="1" applyBorder="1" applyAlignment="1">
      <alignment horizontal="center" vertical="top" wrapText="1"/>
    </xf>
    <xf numFmtId="2" fontId="79" fillId="0" borderId="27" xfId="0" applyNumberFormat="1" applyFont="1" applyFill="1" applyBorder="1" applyAlignment="1">
      <alignment horizontal="center" vertical="top"/>
    </xf>
    <xf numFmtId="0" fontId="79" fillId="0" borderId="27" xfId="0" applyFont="1" applyFill="1" applyBorder="1" applyAlignment="1">
      <alignment horizontal="center" vertical="top" wrapText="1"/>
    </xf>
    <xf numFmtId="175" fontId="79" fillId="0" borderId="27" xfId="1157" applyFont="1" applyFill="1" applyBorder="1" applyAlignment="1">
      <alignment horizontal="center" vertical="top" wrapText="1"/>
    </xf>
    <xf numFmtId="175" fontId="81" fillId="0" borderId="47" xfId="1157" applyFont="1" applyBorder="1" applyAlignment="1">
      <alignment horizontal="center"/>
    </xf>
    <xf numFmtId="175" fontId="79" fillId="43" borderId="27" xfId="1157" applyFont="1" applyFill="1" applyBorder="1" applyAlignment="1">
      <alignment horizontal="left" vertical="top"/>
    </xf>
    <xf numFmtId="49" fontId="79" fillId="47" borderId="27" xfId="0" applyNumberFormat="1" applyFont="1" applyFill="1" applyBorder="1" applyAlignment="1">
      <alignment horizontal="left" vertical="top"/>
    </xf>
    <xf numFmtId="175" fontId="79" fillId="43" borderId="27" xfId="1158" applyFont="1" applyFill="1" applyBorder="1" applyAlignment="1">
      <alignment horizontal="left" vertical="top"/>
    </xf>
    <xf numFmtId="0" fontId="127" fillId="43" borderId="27" xfId="0" applyFont="1" applyFill="1" applyBorder="1" applyAlignment="1">
      <alignment vertical="center" wrapText="1"/>
    </xf>
    <xf numFmtId="192" fontId="79" fillId="43" borderId="27" xfId="0" applyNumberFormat="1" applyFont="1" applyFill="1" applyBorder="1" applyAlignment="1">
      <alignment horizontal="center" vertical="top" wrapText="1"/>
    </xf>
    <xf numFmtId="0" fontId="126" fillId="49" borderId="60" xfId="0" applyFont="1" applyFill="1" applyBorder="1" applyAlignment="1">
      <alignment horizontal="left" vertical="top" wrapText="1"/>
    </xf>
    <xf numFmtId="0" fontId="79" fillId="47" borderId="27" xfId="0" applyFont="1" applyFill="1" applyBorder="1" applyAlignment="1">
      <alignment horizontal="left" vertical="top" wrapText="1"/>
    </xf>
    <xf numFmtId="49" fontId="79" fillId="0" borderId="27" xfId="0" applyNumberFormat="1" applyFont="1" applyBorder="1" applyAlignment="1">
      <alignment horizontal="left" vertical="top" wrapText="1"/>
    </xf>
    <xf numFmtId="49" fontId="79" fillId="0" borderId="27" xfId="0" applyNumberFormat="1" applyFont="1" applyBorder="1" applyAlignment="1">
      <alignment horizontal="center" vertical="top" wrapText="1"/>
    </xf>
    <xf numFmtId="175" fontId="79" fillId="0" borderId="27" xfId="1158" applyFont="1" applyFill="1" applyBorder="1" applyAlignment="1">
      <alignment horizontal="left" vertical="top" wrapText="1"/>
    </xf>
    <xf numFmtId="4" fontId="79" fillId="0" borderId="0" xfId="0" applyNumberFormat="1" applyFont="1" applyAlignment="1">
      <alignment/>
    </xf>
    <xf numFmtId="43" fontId="79" fillId="0" borderId="0" xfId="0" applyNumberFormat="1" applyFont="1" applyAlignment="1">
      <alignment/>
    </xf>
    <xf numFmtId="175" fontId="79" fillId="0" borderId="0" xfId="1157" applyFont="1" applyBorder="1" applyAlignment="1">
      <alignment/>
    </xf>
    <xf numFmtId="175" fontId="79" fillId="0" borderId="0" xfId="1157" applyFont="1" applyBorder="1" applyAlignment="1">
      <alignment vertical="center"/>
    </xf>
    <xf numFmtId="175" fontId="81" fillId="0" borderId="27" xfId="1157" applyFont="1" applyBorder="1" applyAlignment="1">
      <alignment vertical="center"/>
    </xf>
    <xf numFmtId="175" fontId="79" fillId="0" borderId="27" xfId="1157" applyFont="1" applyBorder="1" applyAlignment="1">
      <alignment/>
    </xf>
    <xf numFmtId="175" fontId="81" fillId="0" borderId="55" xfId="1157" applyFont="1" applyFill="1" applyBorder="1" applyAlignment="1">
      <alignment horizontal="center" vertical="center" wrapText="1"/>
    </xf>
    <xf numFmtId="175" fontId="81" fillId="0" borderId="58" xfId="1157" applyFont="1" applyFill="1" applyBorder="1" applyAlignment="1">
      <alignment horizontal="center" vertical="center" wrapText="1"/>
    </xf>
    <xf numFmtId="175" fontId="79" fillId="0" borderId="0" xfId="1157" applyFont="1" applyFill="1" applyBorder="1" applyAlignment="1">
      <alignment/>
    </xf>
    <xf numFmtId="175" fontId="79" fillId="0" borderId="0" xfId="1157" applyFont="1" applyFill="1" applyAlignment="1">
      <alignment/>
    </xf>
    <xf numFmtId="49" fontId="79" fillId="0" borderId="27" xfId="0" applyNumberFormat="1" applyFont="1" applyBorder="1" applyAlignment="1">
      <alignment horizontal="left" vertical="top"/>
    </xf>
    <xf numFmtId="192" fontId="79" fillId="43" borderId="27" xfId="0" applyNumberFormat="1" applyFont="1" applyFill="1" applyBorder="1" applyAlignment="1">
      <alignment horizontal="left" vertical="top" wrapText="1"/>
    </xf>
    <xf numFmtId="0" fontId="0" fillId="50" borderId="60" xfId="0" applyFont="1" applyFill="1" applyBorder="1" applyAlignment="1">
      <alignment vertical="top" wrapText="1"/>
    </xf>
    <xf numFmtId="0" fontId="126" fillId="47" borderId="27" xfId="0" applyFont="1" applyFill="1" applyBorder="1" applyAlignment="1">
      <alignment horizontal="left" vertical="top" wrapText="1"/>
    </xf>
    <xf numFmtId="4" fontId="79" fillId="47" borderId="27" xfId="0" applyNumberFormat="1" applyFont="1" applyFill="1" applyBorder="1" applyAlignment="1">
      <alignment horizontal="left" vertical="top"/>
    </xf>
    <xf numFmtId="175" fontId="79" fillId="0" borderId="27" xfId="1157" applyFont="1" applyFill="1" applyBorder="1" applyAlignment="1">
      <alignment horizontal="right" vertical="top" wrapText="1"/>
    </xf>
    <xf numFmtId="14" fontId="81" fillId="0" borderId="27" xfId="1157" applyNumberFormat="1" applyFont="1" applyBorder="1" applyAlignment="1">
      <alignment vertical="center"/>
    </xf>
    <xf numFmtId="0" fontId="79" fillId="43" borderId="40" xfId="0" applyFont="1" applyFill="1" applyBorder="1" applyAlignment="1">
      <alignment horizontal="center" vertical="center"/>
    </xf>
    <xf numFmtId="0" fontId="79" fillId="43" borderId="40" xfId="0" applyFont="1" applyFill="1" applyBorder="1" applyAlignment="1">
      <alignment vertical="center"/>
    </xf>
    <xf numFmtId="175" fontId="79" fillId="43" borderId="40" xfId="1157" applyFont="1" applyFill="1" applyBorder="1" applyAlignment="1">
      <alignment vertical="center"/>
    </xf>
    <xf numFmtId="39" fontId="79" fillId="0" borderId="40" xfId="0" applyNumberFormat="1" applyFont="1" applyFill="1" applyBorder="1" applyAlignment="1">
      <alignment horizontal="center"/>
    </xf>
    <xf numFmtId="0" fontId="79" fillId="0" borderId="40" xfId="0" applyFont="1" applyBorder="1" applyAlignment="1">
      <alignment/>
    </xf>
    <xf numFmtId="0" fontId="79" fillId="0" borderId="41" xfId="0" applyFont="1" applyBorder="1" applyAlignment="1">
      <alignment/>
    </xf>
    <xf numFmtId="49" fontId="81" fillId="43" borderId="45" xfId="0" applyNumberFormat="1" applyFont="1" applyFill="1" applyBorder="1" applyAlignment="1">
      <alignment vertical="center"/>
    </xf>
    <xf numFmtId="0" fontId="79" fillId="0" borderId="42" xfId="0" applyFont="1" applyBorder="1" applyAlignment="1">
      <alignment/>
    </xf>
    <xf numFmtId="0" fontId="79" fillId="0" borderId="45" xfId="0" applyFont="1" applyBorder="1" applyAlignment="1">
      <alignment/>
    </xf>
    <xf numFmtId="0" fontId="79" fillId="0" borderId="48" xfId="0" applyFont="1" applyBorder="1" applyAlignment="1">
      <alignment/>
    </xf>
    <xf numFmtId="10" fontId="81" fillId="0" borderId="48" xfId="0" applyNumberFormat="1" applyFont="1" applyBorder="1" applyAlignment="1">
      <alignment vertical="center" wrapText="1"/>
    </xf>
    <xf numFmtId="10" fontId="81" fillId="0" borderId="48" xfId="0" applyNumberFormat="1" applyFont="1" applyBorder="1" applyAlignment="1">
      <alignment vertical="center"/>
    </xf>
    <xf numFmtId="39" fontId="79" fillId="0" borderId="42" xfId="0" applyNumberFormat="1" applyFont="1" applyFill="1" applyBorder="1" applyAlignment="1">
      <alignment/>
    </xf>
    <xf numFmtId="0" fontId="79" fillId="0" borderId="63" xfId="0" applyFont="1" applyBorder="1" applyAlignment="1">
      <alignment/>
    </xf>
    <xf numFmtId="175" fontId="81" fillId="44" borderId="48" xfId="1157" applyFont="1" applyFill="1" applyBorder="1" applyAlignment="1">
      <alignment horizontal="left" vertical="center"/>
    </xf>
    <xf numFmtId="175" fontId="79" fillId="0" borderId="48" xfId="1157" applyFont="1" applyFill="1" applyBorder="1" applyAlignment="1">
      <alignment horizontal="left" vertical="top" wrapText="1"/>
    </xf>
    <xf numFmtId="175" fontId="79" fillId="0" borderId="48" xfId="1158" applyFont="1" applyFill="1" applyBorder="1" applyAlignment="1">
      <alignment horizontal="left" vertical="top" wrapText="1"/>
    </xf>
    <xf numFmtId="175" fontId="81" fillId="11" borderId="48" xfId="1157" applyFont="1" applyFill="1" applyBorder="1" applyAlignment="1">
      <alignment horizontal="left" vertical="top"/>
    </xf>
    <xf numFmtId="175" fontId="79" fillId="0" borderId="48" xfId="1157" applyFont="1" applyFill="1" applyBorder="1" applyAlignment="1">
      <alignment horizontal="left" vertical="top"/>
    </xf>
    <xf numFmtId="49" fontId="79" fillId="0" borderId="45" xfId="0" applyNumberFormat="1" applyFont="1" applyFill="1" applyBorder="1" applyAlignment="1">
      <alignment horizontal="left" vertical="top"/>
    </xf>
    <xf numFmtId="175" fontId="79" fillId="26" borderId="48" xfId="1157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center"/>
    </xf>
    <xf numFmtId="175" fontId="81" fillId="0" borderId="48" xfId="1157" applyFont="1" applyBorder="1" applyAlignment="1">
      <alignment horizontal="left" vertical="center"/>
    </xf>
    <xf numFmtId="175" fontId="81" fillId="44" borderId="48" xfId="1157" applyFont="1" applyFill="1" applyBorder="1" applyAlignment="1">
      <alignment horizontal="left" vertical="top" wrapText="1"/>
    </xf>
    <xf numFmtId="175" fontId="56" fillId="0" borderId="48" xfId="1157" applyFont="1" applyFill="1" applyBorder="1" applyAlignment="1">
      <alignment horizontal="left" vertical="center"/>
    </xf>
    <xf numFmtId="0" fontId="81" fillId="0" borderId="48" xfId="0" applyFont="1" applyBorder="1" applyAlignment="1">
      <alignment horizontal="center"/>
    </xf>
    <xf numFmtId="0" fontId="125" fillId="45" borderId="27" xfId="0" applyFont="1" applyFill="1" applyBorder="1" applyAlignment="1">
      <alignment horizontal="left" vertical="top" wrapText="1"/>
    </xf>
    <xf numFmtId="0" fontId="79" fillId="44" borderId="27" xfId="0" applyFont="1" applyFill="1" applyBorder="1" applyAlignment="1">
      <alignment horizontal="center"/>
    </xf>
    <xf numFmtId="0" fontId="79" fillId="44" borderId="64" xfId="0" applyFont="1" applyFill="1" applyBorder="1" applyAlignment="1">
      <alignment horizontal="center"/>
    </xf>
    <xf numFmtId="207" fontId="52" fillId="0" borderId="65" xfId="1157" applyNumberFormat="1" applyFont="1" applyFill="1" applyBorder="1" applyAlignment="1" applyProtection="1">
      <alignment/>
      <protection/>
    </xf>
    <xf numFmtId="0" fontId="52" fillId="0" borderId="66" xfId="0" applyFont="1" applyBorder="1" applyAlignment="1">
      <alignment horizontal="left" wrapText="1"/>
    </xf>
    <xf numFmtId="0" fontId="52" fillId="0" borderId="67" xfId="0" applyFont="1" applyBorder="1" applyAlignment="1">
      <alignment horizontal="left" wrapText="1"/>
    </xf>
    <xf numFmtId="0" fontId="52" fillId="0" borderId="68" xfId="0" applyFont="1" applyBorder="1" applyAlignment="1">
      <alignment horizontal="left" wrapText="1"/>
    </xf>
    <xf numFmtId="0" fontId="52" fillId="0" borderId="69" xfId="0" applyFont="1" applyBorder="1" applyAlignment="1">
      <alignment horizontal="center" wrapText="1"/>
    </xf>
    <xf numFmtId="0" fontId="52" fillId="0" borderId="70" xfId="0" applyFont="1" applyBorder="1" applyAlignment="1">
      <alignment horizontal="center" wrapText="1"/>
    </xf>
    <xf numFmtId="0" fontId="52" fillId="0" borderId="71" xfId="0" applyFont="1" applyBorder="1" applyAlignment="1">
      <alignment horizontal="center" wrapText="1"/>
    </xf>
    <xf numFmtId="10" fontId="52" fillId="0" borderId="66" xfId="897" applyNumberFormat="1" applyFont="1" applyBorder="1" applyAlignment="1">
      <alignment/>
    </xf>
    <xf numFmtId="10" fontId="52" fillId="0" borderId="67" xfId="897" applyNumberFormat="1" applyFont="1" applyBorder="1" applyAlignment="1">
      <alignment/>
    </xf>
    <xf numFmtId="10" fontId="52" fillId="0" borderId="68" xfId="897" applyNumberFormat="1" applyFont="1" applyBorder="1" applyAlignment="1">
      <alignment/>
    </xf>
    <xf numFmtId="0" fontId="81" fillId="43" borderId="72" xfId="0" applyFont="1" applyFill="1" applyBorder="1" applyAlignment="1">
      <alignment vertical="center"/>
    </xf>
    <xf numFmtId="0" fontId="81" fillId="0" borderId="27" xfId="0" applyFont="1" applyBorder="1" applyAlignment="1">
      <alignment/>
    </xf>
    <xf numFmtId="192" fontId="79" fillId="0" borderId="27" xfId="0" applyNumberFormat="1" applyFont="1" applyBorder="1" applyAlignment="1">
      <alignment horizontal="left" vertical="top" wrapText="1"/>
    </xf>
    <xf numFmtId="192" fontId="79" fillId="0" borderId="27" xfId="0" applyNumberFormat="1" applyFont="1" applyBorder="1" applyAlignment="1">
      <alignment horizontal="center" vertical="top" wrapText="1"/>
    </xf>
    <xf numFmtId="175" fontId="79" fillId="0" borderId="27" xfId="1157" applyFont="1" applyFill="1" applyBorder="1" applyAlignment="1">
      <alignment vertical="top" wrapText="1"/>
    </xf>
    <xf numFmtId="175" fontId="90" fillId="43" borderId="73" xfId="1157" applyFont="1" applyFill="1" applyBorder="1" applyAlignment="1">
      <alignment horizontal="left" vertical="top" wrapText="1"/>
    </xf>
    <xf numFmtId="175" fontId="90" fillId="0" borderId="73" xfId="1157" applyFont="1" applyFill="1" applyBorder="1" applyAlignment="1">
      <alignment horizontal="left" vertical="top" wrapText="1"/>
    </xf>
    <xf numFmtId="175" fontId="90" fillId="43" borderId="27" xfId="1157" applyFont="1" applyFill="1" applyBorder="1" applyAlignment="1">
      <alignment horizontal="left" vertical="top" wrapText="1"/>
    </xf>
    <xf numFmtId="192" fontId="79" fillId="44" borderId="27" xfId="0" applyNumberFormat="1" applyFont="1" applyFill="1" applyBorder="1" applyAlignment="1">
      <alignment horizontal="left" vertical="top" wrapText="1"/>
    </xf>
    <xf numFmtId="49" fontId="85" fillId="0" borderId="45" xfId="0" applyNumberFormat="1" applyFont="1" applyFill="1" applyBorder="1" applyAlignment="1">
      <alignment horizontal="justify" vertical="top"/>
    </xf>
    <xf numFmtId="49" fontId="85" fillId="0" borderId="27" xfId="0" applyNumberFormat="1" applyFont="1" applyFill="1" applyBorder="1" applyAlignment="1">
      <alignment horizontal="left" vertical="top"/>
    </xf>
    <xf numFmtId="49" fontId="85" fillId="0" borderId="27" xfId="0" applyNumberFormat="1" applyFont="1" applyFill="1" applyBorder="1" applyAlignment="1">
      <alignment horizontal="center" vertical="top"/>
    </xf>
    <xf numFmtId="175" fontId="85" fillId="0" borderId="27" xfId="1157" applyFont="1" applyFill="1" applyBorder="1" applyAlignment="1">
      <alignment horizontal="left" vertical="top"/>
    </xf>
    <xf numFmtId="175" fontId="85" fillId="0" borderId="48" xfId="1157" applyFont="1" applyFill="1" applyBorder="1" applyAlignment="1">
      <alignment horizontal="left" vertical="top"/>
    </xf>
    <xf numFmtId="4" fontId="85" fillId="0" borderId="0" xfId="0" applyNumberFormat="1" applyFont="1" applyFill="1" applyBorder="1" applyAlignment="1">
      <alignment/>
    </xf>
    <xf numFmtId="43" fontId="85" fillId="0" borderId="0" xfId="0" applyNumberFormat="1" applyFont="1" applyFill="1" applyAlignment="1">
      <alignment/>
    </xf>
    <xf numFmtId="0" fontId="85" fillId="0" borderId="0" xfId="0" applyFont="1" applyFill="1" applyAlignment="1">
      <alignment/>
    </xf>
    <xf numFmtId="175" fontId="79" fillId="0" borderId="27" xfId="1158" applyFont="1" applyFill="1" applyBorder="1" applyAlignment="1">
      <alignment horizontal="left" vertical="top"/>
    </xf>
    <xf numFmtId="0" fontId="51" fillId="0" borderId="27" xfId="685" applyFont="1" applyBorder="1" applyAlignment="1">
      <alignment horizontal="center"/>
      <protection/>
    </xf>
    <xf numFmtId="0" fontId="53" fillId="0" borderId="74" xfId="0" applyFont="1" applyBorder="1" applyAlignment="1">
      <alignment horizontal="center" wrapText="1"/>
    </xf>
    <xf numFmtId="0" fontId="54" fillId="0" borderId="75" xfId="0" applyFont="1" applyBorder="1" applyAlignment="1">
      <alignment horizontal="center" wrapText="1"/>
    </xf>
    <xf numFmtId="0" fontId="54" fillId="0" borderId="76" xfId="0" applyFont="1" applyBorder="1" applyAlignment="1">
      <alignment horizontal="center" wrapText="1"/>
    </xf>
    <xf numFmtId="0" fontId="54" fillId="0" borderId="77" xfId="0" applyFont="1" applyBorder="1" applyAlignment="1">
      <alignment horizontal="center" wrapText="1"/>
    </xf>
    <xf numFmtId="0" fontId="54" fillId="0" borderId="75" xfId="0" applyFont="1" applyBorder="1" applyAlignment="1">
      <alignment horizontal="left" vertical="top" wrapText="1"/>
    </xf>
    <xf numFmtId="0" fontId="54" fillId="0" borderId="76" xfId="0" applyFont="1" applyBorder="1" applyAlignment="1">
      <alignment horizontal="left" vertical="top" wrapText="1"/>
    </xf>
    <xf numFmtId="0" fontId="54" fillId="0" borderId="77" xfId="0" applyFont="1" applyBorder="1" applyAlignment="1">
      <alignment horizontal="left" vertical="top" wrapText="1"/>
    </xf>
    <xf numFmtId="0" fontId="54" fillId="0" borderId="75" xfId="0" applyFont="1" applyBorder="1" applyAlignment="1">
      <alignment horizontal="left" wrapText="1"/>
    </xf>
    <xf numFmtId="0" fontId="54" fillId="0" borderId="77" xfId="0" applyFont="1" applyBorder="1" applyAlignment="1">
      <alignment horizontal="left" wrapText="1"/>
    </xf>
    <xf numFmtId="49" fontId="84" fillId="43" borderId="78" xfId="0" applyNumberFormat="1" applyFont="1" applyFill="1" applyBorder="1" applyAlignment="1">
      <alignment horizontal="center" vertical="center"/>
    </xf>
    <xf numFmtId="49" fontId="84" fillId="43" borderId="79" xfId="0" applyNumberFormat="1" applyFont="1" applyFill="1" applyBorder="1" applyAlignment="1">
      <alignment horizontal="center" vertical="center"/>
    </xf>
    <xf numFmtId="0" fontId="81" fillId="0" borderId="37" xfId="0" applyFont="1" applyFill="1" applyBorder="1" applyAlignment="1">
      <alignment horizontal="left" vertical="top"/>
    </xf>
    <xf numFmtId="0" fontId="81" fillId="0" borderId="0" xfId="0" applyFont="1" applyFill="1" applyBorder="1" applyAlignment="1">
      <alignment horizontal="left" vertical="top"/>
    </xf>
    <xf numFmtId="0" fontId="79" fillId="0" borderId="0" xfId="0" applyFont="1" applyFill="1" applyBorder="1" applyAlignment="1">
      <alignment horizontal="left" vertical="top"/>
    </xf>
    <xf numFmtId="0" fontId="81" fillId="0" borderId="37" xfId="0" applyFont="1" applyFill="1" applyBorder="1" applyAlignment="1">
      <alignment horizontal="left" vertical="top" wrapText="1"/>
    </xf>
    <xf numFmtId="0" fontId="81" fillId="0" borderId="0" xfId="0" applyFont="1" applyFill="1" applyBorder="1" applyAlignment="1">
      <alignment horizontal="left" vertical="top" wrapText="1"/>
    </xf>
    <xf numFmtId="0" fontId="79" fillId="0" borderId="37" xfId="0" applyFont="1" applyFill="1" applyBorder="1" applyAlignment="1">
      <alignment horizontal="left" vertical="top"/>
    </xf>
    <xf numFmtId="49" fontId="1" fillId="0" borderId="27" xfId="0" applyNumberFormat="1" applyFont="1" applyFill="1" applyBorder="1" applyAlignment="1">
      <alignment horizontal="center" vertical="center" wrapText="1"/>
    </xf>
    <xf numFmtId="1" fontId="1" fillId="0" borderId="64" xfId="0" applyNumberFormat="1" applyFont="1" applyFill="1" applyBorder="1" applyAlignment="1">
      <alignment horizontal="center" vertical="center" wrapText="1"/>
    </xf>
    <xf numFmtId="1" fontId="1" fillId="0" borderId="80" xfId="0" applyNumberFormat="1" applyFont="1" applyFill="1" applyBorder="1" applyAlignment="1">
      <alignment horizontal="center" vertical="center" wrapText="1"/>
    </xf>
    <xf numFmtId="175" fontId="1" fillId="0" borderId="81" xfId="1157" applyFont="1" applyFill="1" applyBorder="1" applyAlignment="1">
      <alignment horizontal="center" vertical="center" wrapText="1"/>
    </xf>
    <xf numFmtId="175" fontId="1" fillId="0" borderId="80" xfId="1157" applyFont="1" applyFill="1" applyBorder="1" applyAlignment="1">
      <alignment horizontal="center" vertical="center" wrapText="1"/>
    </xf>
  </cellXfs>
  <cellStyles count="1341">
    <cellStyle name="Normal" xfId="0"/>
    <cellStyle name="0,0&#13;&#10;NA&#13;&#10;" xfId="15"/>
    <cellStyle name="0,0&#13;&#10;NA&#13;&#10; 2" xfId="16"/>
    <cellStyle name="0,0&#13;&#10;NA&#13;&#10; 2 2" xfId="17"/>
    <cellStyle name="0,0&#13;&#10;NA&#13;&#10; 3" xfId="18"/>
    <cellStyle name="20% - Ênfase1" xfId="19"/>
    <cellStyle name="20% - Ênfase1 10" xfId="20"/>
    <cellStyle name="20% - Ênfase1 100" xfId="21"/>
    <cellStyle name="20% - Ênfase1 11" xfId="22"/>
    <cellStyle name="20% - Ênfase1 2" xfId="23"/>
    <cellStyle name="20% - Ênfase1 2 10" xfId="24"/>
    <cellStyle name="20% - Ênfase1 2 11" xfId="25"/>
    <cellStyle name="20% - Ênfase1 2 11 2" xfId="26"/>
    <cellStyle name="20% - Ênfase1 2 2" xfId="27"/>
    <cellStyle name="20% - Ênfase1 2 2 2" xfId="28"/>
    <cellStyle name="20% - Ênfase1 2 3" xfId="29"/>
    <cellStyle name="20% - Ênfase1 2 3 2" xfId="30"/>
    <cellStyle name="20% - Ênfase1 2 3 3" xfId="31"/>
    <cellStyle name="20% - Ênfase1 2 3 4" xfId="32"/>
    <cellStyle name="20% - Ênfase1 2 4" xfId="33"/>
    <cellStyle name="20% - Ênfase1 2 4 2" xfId="34"/>
    <cellStyle name="20% - Ênfase1 2 4 3" xfId="35"/>
    <cellStyle name="20% - Ênfase1 2 4 4" xfId="36"/>
    <cellStyle name="20% - Ênfase1 2 5" xfId="37"/>
    <cellStyle name="20% - Ênfase1 2 5 2" xfId="38"/>
    <cellStyle name="20% - Ênfase1 2 6" xfId="39"/>
    <cellStyle name="20% - Ênfase1 2 7" xfId="40"/>
    <cellStyle name="20% - Ênfase1 2 8" xfId="41"/>
    <cellStyle name="20% - Ênfase1 2 9" xfId="42"/>
    <cellStyle name="20% - Ênfase1 3" xfId="43"/>
    <cellStyle name="20% - Ênfase1 3 2" xfId="44"/>
    <cellStyle name="20% - Ênfase1 3 3" xfId="45"/>
    <cellStyle name="20% - Ênfase1 3 4" xfId="46"/>
    <cellStyle name="20% - Ênfase1 3 5" xfId="47"/>
    <cellStyle name="20% - Ênfase1 3 6" xfId="48"/>
    <cellStyle name="20% - Ênfase1 4" xfId="49"/>
    <cellStyle name="20% - Ênfase1 5" xfId="50"/>
    <cellStyle name="20% - Ênfase1 6" xfId="51"/>
    <cellStyle name="20% - Ênfase1 7" xfId="52"/>
    <cellStyle name="20% - Ênfase1 8" xfId="53"/>
    <cellStyle name="20% - Ênfase1 9" xfId="54"/>
    <cellStyle name="20% - Ênfase2" xfId="55"/>
    <cellStyle name="20% - Ênfase2 10" xfId="56"/>
    <cellStyle name="20% - Ênfase2 11" xfId="57"/>
    <cellStyle name="20% - Ênfase2 2" xfId="58"/>
    <cellStyle name="20% - Ênfase2 2 2" xfId="59"/>
    <cellStyle name="20% - Ênfase2 2 2 2" xfId="60"/>
    <cellStyle name="20% - Ênfase2 2 3" xfId="61"/>
    <cellStyle name="20% - Ênfase2 2 3 2" xfId="62"/>
    <cellStyle name="20% - Ênfase2 2 3 3" xfId="63"/>
    <cellStyle name="20% - Ênfase2 2 4" xfId="64"/>
    <cellStyle name="20% - Ênfase2 2 5" xfId="65"/>
    <cellStyle name="20% - Ênfase2 2 6" xfId="66"/>
    <cellStyle name="20% - Ênfase2 2 7" xfId="67"/>
    <cellStyle name="20% - Ênfase2 3" xfId="68"/>
    <cellStyle name="20% - Ênfase2 3 2" xfId="69"/>
    <cellStyle name="20% - Ênfase2 3 3" xfId="70"/>
    <cellStyle name="20% - Ênfase2 3 4" xfId="71"/>
    <cellStyle name="20% - Ênfase2 3 5" xfId="72"/>
    <cellStyle name="20% - Ênfase2 3 6" xfId="73"/>
    <cellStyle name="20% - Ênfase2 4" xfId="74"/>
    <cellStyle name="20% - Ênfase2 5" xfId="75"/>
    <cellStyle name="20% - Ênfase2 6" xfId="76"/>
    <cellStyle name="20% - Ênfase2 7" xfId="77"/>
    <cellStyle name="20% - Ênfase2 8" xfId="78"/>
    <cellStyle name="20% - Ênfase2 9" xfId="79"/>
    <cellStyle name="20% - Ênfase3" xfId="80"/>
    <cellStyle name="20% - Ênfase3 10" xfId="81"/>
    <cellStyle name="20% - Ênfase3 11" xfId="82"/>
    <cellStyle name="20% - Ênfase3 2" xfId="83"/>
    <cellStyle name="20% - Ênfase3 2 2" xfId="84"/>
    <cellStyle name="20% - Ênfase3 2 2 2" xfId="85"/>
    <cellStyle name="20% - Ênfase3 2 3" xfId="86"/>
    <cellStyle name="20% - Ênfase3 2 3 2" xfId="87"/>
    <cellStyle name="20% - Ênfase3 2 3 3" xfId="88"/>
    <cellStyle name="20% - Ênfase3 2 4" xfId="89"/>
    <cellStyle name="20% - Ênfase3 2 5" xfId="90"/>
    <cellStyle name="20% - Ênfase3 2 6" xfId="91"/>
    <cellStyle name="20% - Ênfase3 2 7" xfId="92"/>
    <cellStyle name="20% - Ênfase3 3" xfId="93"/>
    <cellStyle name="20% - Ênfase3 3 2" xfId="94"/>
    <cellStyle name="20% - Ênfase3 3 3" xfId="95"/>
    <cellStyle name="20% - Ênfase3 3 4" xfId="96"/>
    <cellStyle name="20% - Ênfase3 3 5" xfId="97"/>
    <cellStyle name="20% - Ênfase3 3 6" xfId="98"/>
    <cellStyle name="20% - Ênfase3 4" xfId="99"/>
    <cellStyle name="20% - Ênfase3 5" xfId="100"/>
    <cellStyle name="20% - Ênfase3 6" xfId="101"/>
    <cellStyle name="20% - Ênfase3 7" xfId="102"/>
    <cellStyle name="20% - Ênfase3 8" xfId="103"/>
    <cellStyle name="20% - Ênfase3 9" xfId="104"/>
    <cellStyle name="20% - Ênfase4" xfId="105"/>
    <cellStyle name="20% - Ênfase4 10" xfId="106"/>
    <cellStyle name="20% - Ênfase4 11" xfId="107"/>
    <cellStyle name="20% - Ênfase4 2" xfId="108"/>
    <cellStyle name="20% - Ênfase4 2 2" xfId="109"/>
    <cellStyle name="20% - Ênfase4 2 2 2" xfId="110"/>
    <cellStyle name="20% - Ênfase4 2 3" xfId="111"/>
    <cellStyle name="20% - Ênfase4 2 3 2" xfId="112"/>
    <cellStyle name="20% - Ênfase4 2 3 3" xfId="113"/>
    <cellStyle name="20% - Ênfase4 2 4" xfId="114"/>
    <cellStyle name="20% - Ênfase4 2 5" xfId="115"/>
    <cellStyle name="20% - Ênfase4 2 6" xfId="116"/>
    <cellStyle name="20% - Ênfase4 2 7" xfId="117"/>
    <cellStyle name="20% - Ênfase4 3" xfId="118"/>
    <cellStyle name="20% - Ênfase4 3 2" xfId="119"/>
    <cellStyle name="20% - Ênfase4 3 3" xfId="120"/>
    <cellStyle name="20% - Ênfase4 3 4" xfId="121"/>
    <cellStyle name="20% - Ênfase4 3 5" xfId="122"/>
    <cellStyle name="20% - Ênfase4 3 6" xfId="123"/>
    <cellStyle name="20% - Ênfase4 4" xfId="124"/>
    <cellStyle name="20% - Ênfase4 5" xfId="125"/>
    <cellStyle name="20% - Ênfase4 6" xfId="126"/>
    <cellStyle name="20% - Ênfase4 7" xfId="127"/>
    <cellStyle name="20% - Ênfase4 8" xfId="128"/>
    <cellStyle name="20% - Ênfase4 9" xfId="129"/>
    <cellStyle name="20% - Ênfase5" xfId="130"/>
    <cellStyle name="20% - Ênfase5 2" xfId="131"/>
    <cellStyle name="20% - Ênfase5 2 2" xfId="132"/>
    <cellStyle name="20% - Ênfase5 2 2 2" xfId="133"/>
    <cellStyle name="20% - Ênfase5 2 3" xfId="134"/>
    <cellStyle name="20% - Ênfase5 3" xfId="135"/>
    <cellStyle name="20% - Ênfase6" xfId="136"/>
    <cellStyle name="20% - Ênfase6 10" xfId="137"/>
    <cellStyle name="20% - Ênfase6 11" xfId="138"/>
    <cellStyle name="20% - Ênfase6 2" xfId="139"/>
    <cellStyle name="20% - Ênfase6 2 2" xfId="140"/>
    <cellStyle name="20% - Ênfase6 2 2 2" xfId="141"/>
    <cellStyle name="20% - Ênfase6 2 3" xfId="142"/>
    <cellStyle name="20% - Ênfase6 2 3 2" xfId="143"/>
    <cellStyle name="20% - Ênfase6 2 3 3" xfId="144"/>
    <cellStyle name="20% - Ênfase6 2 4" xfId="145"/>
    <cellStyle name="20% - Ênfase6 2 5" xfId="146"/>
    <cellStyle name="20% - Ênfase6 2 6" xfId="147"/>
    <cellStyle name="20% - Ênfase6 2 7" xfId="148"/>
    <cellStyle name="20% - Ênfase6 3" xfId="149"/>
    <cellStyle name="20% - Ênfase6 3 2" xfId="150"/>
    <cellStyle name="20% - Ênfase6 3 3" xfId="151"/>
    <cellStyle name="20% - Ênfase6 3 4" xfId="152"/>
    <cellStyle name="20% - Ênfase6 3 5" xfId="153"/>
    <cellStyle name="20% - Ênfase6 3 6" xfId="154"/>
    <cellStyle name="20% - Ênfase6 4" xfId="155"/>
    <cellStyle name="20% - Ênfase6 5" xfId="156"/>
    <cellStyle name="20% - Ênfase6 6" xfId="157"/>
    <cellStyle name="20% - Ênfase6 7" xfId="158"/>
    <cellStyle name="20% - Ênfase6 8" xfId="159"/>
    <cellStyle name="20% - Ênfase6 9" xfId="160"/>
    <cellStyle name="40% - Ênfase1" xfId="161"/>
    <cellStyle name="40% - Ênfase1 10" xfId="162"/>
    <cellStyle name="40% - Ênfase1 11" xfId="163"/>
    <cellStyle name="40% - Ênfase1 2" xfId="164"/>
    <cellStyle name="40% - Ênfase1 2 2" xfId="165"/>
    <cellStyle name="40% - Ênfase1 2 2 2" xfId="166"/>
    <cellStyle name="40% - Ênfase1 2 3" xfId="167"/>
    <cellStyle name="40% - Ênfase1 2 3 2" xfId="168"/>
    <cellStyle name="40% - Ênfase1 2 3 3" xfId="169"/>
    <cellStyle name="40% - Ênfase1 2 4" xfId="170"/>
    <cellStyle name="40% - Ênfase1 2 5" xfId="171"/>
    <cellStyle name="40% - Ênfase1 2 6" xfId="172"/>
    <cellStyle name="40% - Ênfase1 2 7" xfId="173"/>
    <cellStyle name="40% - Ênfase1 3" xfId="174"/>
    <cellStyle name="40% - Ênfase1 3 2" xfId="175"/>
    <cellStyle name="40% - Ênfase1 3 3" xfId="176"/>
    <cellStyle name="40% - Ênfase1 3 4" xfId="177"/>
    <cellStyle name="40% - Ênfase1 3 5" xfId="178"/>
    <cellStyle name="40% - Ênfase1 3 6" xfId="179"/>
    <cellStyle name="40% - Ênfase1 4" xfId="180"/>
    <cellStyle name="40% - Ênfase1 5" xfId="181"/>
    <cellStyle name="40% - Ênfase1 6" xfId="182"/>
    <cellStyle name="40% - Ênfase1 7" xfId="183"/>
    <cellStyle name="40% - Ênfase1 8" xfId="184"/>
    <cellStyle name="40% - Ênfase1 9" xfId="185"/>
    <cellStyle name="40% - Ênfase2" xfId="186"/>
    <cellStyle name="40% - Ênfase2 2" xfId="187"/>
    <cellStyle name="40% - Ênfase2 2 2" xfId="188"/>
    <cellStyle name="40% - Ênfase2 2 2 2" xfId="189"/>
    <cellStyle name="40% - Ênfase2 2 3" xfId="190"/>
    <cellStyle name="40% - Ênfase2 3" xfId="191"/>
    <cellStyle name="40% - Ênfase3" xfId="192"/>
    <cellStyle name="40% - Ênfase3 10" xfId="193"/>
    <cellStyle name="40% - Ênfase3 11" xfId="194"/>
    <cellStyle name="40% - Ênfase3 2" xfId="195"/>
    <cellStyle name="40% - Ênfase3 2 2" xfId="196"/>
    <cellStyle name="40% - Ênfase3 2 2 2" xfId="197"/>
    <cellStyle name="40% - Ênfase3 2 3" xfId="198"/>
    <cellStyle name="40% - Ênfase3 2 3 2" xfId="199"/>
    <cellStyle name="40% - Ênfase3 2 3 3" xfId="200"/>
    <cellStyle name="40% - Ênfase3 2 4" xfId="201"/>
    <cellStyle name="40% - Ênfase3 2 5" xfId="202"/>
    <cellStyle name="40% - Ênfase3 2 6" xfId="203"/>
    <cellStyle name="40% - Ênfase3 2 7" xfId="204"/>
    <cellStyle name="40% - Ênfase3 3" xfId="205"/>
    <cellStyle name="40% - Ênfase3 3 2" xfId="206"/>
    <cellStyle name="40% - Ênfase3 3 3" xfId="207"/>
    <cellStyle name="40% - Ênfase3 3 4" xfId="208"/>
    <cellStyle name="40% - Ênfase3 3 5" xfId="209"/>
    <cellStyle name="40% - Ênfase3 3 6" xfId="210"/>
    <cellStyle name="40% - Ênfase3 4" xfId="211"/>
    <cellStyle name="40% - Ênfase3 5" xfId="212"/>
    <cellStyle name="40% - Ênfase3 6" xfId="213"/>
    <cellStyle name="40% - Ênfase3 7" xfId="214"/>
    <cellStyle name="40% - Ênfase3 8" xfId="215"/>
    <cellStyle name="40% - Ênfase3 9" xfId="216"/>
    <cellStyle name="40% - Ênfase4" xfId="217"/>
    <cellStyle name="40% - Ênfase4 10" xfId="218"/>
    <cellStyle name="40% - Ênfase4 11" xfId="219"/>
    <cellStyle name="40% - Ênfase4 2" xfId="220"/>
    <cellStyle name="40% - Ênfase4 2 2" xfId="221"/>
    <cellStyle name="40% - Ênfase4 2 2 2" xfId="222"/>
    <cellStyle name="40% - Ênfase4 2 3" xfId="223"/>
    <cellStyle name="40% - Ênfase4 2 3 2" xfId="224"/>
    <cellStyle name="40% - Ênfase4 2 3 3" xfId="225"/>
    <cellStyle name="40% - Ênfase4 2 4" xfId="226"/>
    <cellStyle name="40% - Ênfase4 2 5" xfId="227"/>
    <cellStyle name="40% - Ênfase4 2 6" xfId="228"/>
    <cellStyle name="40% - Ênfase4 2 7" xfId="229"/>
    <cellStyle name="40% - Ênfase4 3" xfId="230"/>
    <cellStyle name="40% - Ênfase4 3 2" xfId="231"/>
    <cellStyle name="40% - Ênfase4 3 3" xfId="232"/>
    <cellStyle name="40% - Ênfase4 3 4" xfId="233"/>
    <cellStyle name="40% - Ênfase4 3 5" xfId="234"/>
    <cellStyle name="40% - Ênfase4 3 6" xfId="235"/>
    <cellStyle name="40% - Ênfase4 4" xfId="236"/>
    <cellStyle name="40% - Ênfase4 5" xfId="237"/>
    <cellStyle name="40% - Ênfase4 6" xfId="238"/>
    <cellStyle name="40% - Ênfase4 7" xfId="239"/>
    <cellStyle name="40% - Ênfase4 8" xfId="240"/>
    <cellStyle name="40% - Ênfase4 9" xfId="241"/>
    <cellStyle name="40% - Ênfase5" xfId="242"/>
    <cellStyle name="40% - Ênfase5 2" xfId="243"/>
    <cellStyle name="40% - Ênfase5 2 2" xfId="244"/>
    <cellStyle name="40% - Ênfase5 2 2 2" xfId="245"/>
    <cellStyle name="40% - Ênfase5 2 3" xfId="246"/>
    <cellStyle name="40% - Ênfase5 3" xfId="247"/>
    <cellStyle name="40% - Ênfase6" xfId="248"/>
    <cellStyle name="40% - Ênfase6 10" xfId="249"/>
    <cellStyle name="40% - Ênfase6 11" xfId="250"/>
    <cellStyle name="40% - Ênfase6 2" xfId="251"/>
    <cellStyle name="40% - Ênfase6 2 2" xfId="252"/>
    <cellStyle name="40% - Ênfase6 2 2 2" xfId="253"/>
    <cellStyle name="40% - Ênfase6 2 3" xfId="254"/>
    <cellStyle name="40% - Ênfase6 2 3 2" xfId="255"/>
    <cellStyle name="40% - Ênfase6 2 3 3" xfId="256"/>
    <cellStyle name="40% - Ênfase6 2 4" xfId="257"/>
    <cellStyle name="40% - Ênfase6 2 5" xfId="258"/>
    <cellStyle name="40% - Ênfase6 2 6" xfId="259"/>
    <cellStyle name="40% - Ênfase6 2 7" xfId="260"/>
    <cellStyle name="40% - Ênfase6 3" xfId="261"/>
    <cellStyle name="40% - Ênfase6 3 2" xfId="262"/>
    <cellStyle name="40% - Ênfase6 3 3" xfId="263"/>
    <cellStyle name="40% - Ênfase6 3 4" xfId="264"/>
    <cellStyle name="40% - Ênfase6 3 5" xfId="265"/>
    <cellStyle name="40% - Ênfase6 3 6" xfId="266"/>
    <cellStyle name="40% - Ênfase6 4" xfId="267"/>
    <cellStyle name="40% - Ênfase6 5" xfId="268"/>
    <cellStyle name="40% - Ênfase6 6" xfId="269"/>
    <cellStyle name="40% - Ênfase6 7" xfId="270"/>
    <cellStyle name="40% - Ênfase6 8" xfId="271"/>
    <cellStyle name="40% - Ênfase6 9" xfId="272"/>
    <cellStyle name="60% - Ênfase1" xfId="273"/>
    <cellStyle name="60% - Ênfase1 10" xfId="274"/>
    <cellStyle name="60% - Ênfase1 11" xfId="275"/>
    <cellStyle name="60% - Ênfase1 12" xfId="276"/>
    <cellStyle name="60% - Ênfase1 2" xfId="277"/>
    <cellStyle name="60% - Ênfase1 2 2" xfId="278"/>
    <cellStyle name="60% - Ênfase1 2 2 2" xfId="279"/>
    <cellStyle name="60% - Ênfase1 2 3" xfId="280"/>
    <cellStyle name="60% - Ênfase1 2 4" xfId="281"/>
    <cellStyle name="60% - Ênfase1 2 5" xfId="282"/>
    <cellStyle name="60% - Ênfase1 2 6" xfId="283"/>
    <cellStyle name="60% - Ênfase1 2 7" xfId="284"/>
    <cellStyle name="60% - Ênfase1 2 8" xfId="285"/>
    <cellStyle name="60% - Ênfase1 3" xfId="286"/>
    <cellStyle name="60% - Ênfase1 3 2" xfId="287"/>
    <cellStyle name="60% - Ênfase1 3 3" xfId="288"/>
    <cellStyle name="60% - Ênfase1 3 4" xfId="289"/>
    <cellStyle name="60% - Ênfase1 3 5" xfId="290"/>
    <cellStyle name="60% - Ênfase1 3 6" xfId="291"/>
    <cellStyle name="60% - Ênfase1 3 7" xfId="292"/>
    <cellStyle name="60% - Ênfase1 4" xfId="293"/>
    <cellStyle name="60% - Ênfase1 5" xfId="294"/>
    <cellStyle name="60% - Ênfase1 6" xfId="295"/>
    <cellStyle name="60% - Ênfase1 7" xfId="296"/>
    <cellStyle name="60% - Ênfase1 8" xfId="297"/>
    <cellStyle name="60% - Ênfase1 9" xfId="298"/>
    <cellStyle name="60% - Ênfase2" xfId="299"/>
    <cellStyle name="60% - Ênfase2 2" xfId="300"/>
    <cellStyle name="60% - Ênfase2 2 2" xfId="301"/>
    <cellStyle name="60% - Ênfase2 2 2 2" xfId="302"/>
    <cellStyle name="60% - Ênfase2 3" xfId="303"/>
    <cellStyle name="60% - Ênfase3" xfId="304"/>
    <cellStyle name="60% - Ênfase3 10" xfId="305"/>
    <cellStyle name="60% - Ênfase3 11" xfId="306"/>
    <cellStyle name="60% - Ênfase3 2" xfId="307"/>
    <cellStyle name="60% - Ênfase3 2 2" xfId="308"/>
    <cellStyle name="60% - Ênfase3 2 2 2" xfId="309"/>
    <cellStyle name="60% - Ênfase3 2 3" xfId="310"/>
    <cellStyle name="60% - Ênfase3 2 4" xfId="311"/>
    <cellStyle name="60% - Ênfase3 2 5" xfId="312"/>
    <cellStyle name="60% - Ênfase3 2 6" xfId="313"/>
    <cellStyle name="60% - Ênfase3 2 7" xfId="314"/>
    <cellStyle name="60% - Ênfase3 3" xfId="315"/>
    <cellStyle name="60% - Ênfase3 3 2" xfId="316"/>
    <cellStyle name="60% - Ênfase3 3 3" xfId="317"/>
    <cellStyle name="60% - Ênfase3 3 4" xfId="318"/>
    <cellStyle name="60% - Ênfase3 3 5" xfId="319"/>
    <cellStyle name="60% - Ênfase3 3 6" xfId="320"/>
    <cellStyle name="60% - Ênfase3 4" xfId="321"/>
    <cellStyle name="60% - Ênfase3 5" xfId="322"/>
    <cellStyle name="60% - Ênfase3 6" xfId="323"/>
    <cellStyle name="60% - Ênfase3 7" xfId="324"/>
    <cellStyle name="60% - Ênfase3 8" xfId="325"/>
    <cellStyle name="60% - Ênfase3 9" xfId="326"/>
    <cellStyle name="60% - Ênfase4" xfId="327"/>
    <cellStyle name="60% - Ênfase4 10" xfId="328"/>
    <cellStyle name="60% - Ênfase4 11" xfId="329"/>
    <cellStyle name="60% - Ênfase4 2" xfId="330"/>
    <cellStyle name="60% - Ênfase4 2 2" xfId="331"/>
    <cellStyle name="60% - Ênfase4 2 2 2" xfId="332"/>
    <cellStyle name="60% - Ênfase4 2 3" xfId="333"/>
    <cellStyle name="60% - Ênfase4 2 4" xfId="334"/>
    <cellStyle name="60% - Ênfase4 2 5" xfId="335"/>
    <cellStyle name="60% - Ênfase4 2 6" xfId="336"/>
    <cellStyle name="60% - Ênfase4 2 7" xfId="337"/>
    <cellStyle name="60% - Ênfase4 3" xfId="338"/>
    <cellStyle name="60% - Ênfase4 3 2" xfId="339"/>
    <cellStyle name="60% - Ênfase4 3 3" xfId="340"/>
    <cellStyle name="60% - Ênfase4 3 4" xfId="341"/>
    <cellStyle name="60% - Ênfase4 3 5" xfId="342"/>
    <cellStyle name="60% - Ênfase4 3 6" xfId="343"/>
    <cellStyle name="60% - Ênfase4 4" xfId="344"/>
    <cellStyle name="60% - Ênfase4 5" xfId="345"/>
    <cellStyle name="60% - Ênfase4 6" xfId="346"/>
    <cellStyle name="60% - Ênfase4 7" xfId="347"/>
    <cellStyle name="60% - Ênfase4 8" xfId="348"/>
    <cellStyle name="60% - Ênfase4 9" xfId="349"/>
    <cellStyle name="60% - Ênfase5" xfId="350"/>
    <cellStyle name="60% - Ênfase5 2" xfId="351"/>
    <cellStyle name="60% - Ênfase5 2 2" xfId="352"/>
    <cellStyle name="60% - Ênfase5 2 2 2" xfId="353"/>
    <cellStyle name="60% - Ênfase5 2 3" xfId="354"/>
    <cellStyle name="60% - Ênfase5 2 4" xfId="355"/>
    <cellStyle name="60% - Ênfase5 2 5" xfId="356"/>
    <cellStyle name="60% - Ênfase5 2 6" xfId="357"/>
    <cellStyle name="60% - Ênfase5 3" xfId="358"/>
    <cellStyle name="60% - Ênfase5 3 2" xfId="359"/>
    <cellStyle name="60% - Ênfase5 3 3" xfId="360"/>
    <cellStyle name="60% - Ênfase5 3 4" xfId="361"/>
    <cellStyle name="60% - Ênfase5 3 5" xfId="362"/>
    <cellStyle name="60% - Ênfase5 4" xfId="363"/>
    <cellStyle name="60% - Ênfase5 5" xfId="364"/>
    <cellStyle name="60% - Ênfase5 6" xfId="365"/>
    <cellStyle name="60% - Ênfase5 7" xfId="366"/>
    <cellStyle name="60% - Ênfase5 8" xfId="367"/>
    <cellStyle name="60% - Ênfase5 9" xfId="368"/>
    <cellStyle name="60% - Ênfase6" xfId="369"/>
    <cellStyle name="60% - Ênfase6 10" xfId="370"/>
    <cellStyle name="60% - Ênfase6 11" xfId="371"/>
    <cellStyle name="60% - Ênfase6 2" xfId="372"/>
    <cellStyle name="60% - Ênfase6 2 2" xfId="373"/>
    <cellStyle name="60% - Ênfase6 2 2 2" xfId="374"/>
    <cellStyle name="60% - Ênfase6 2 3" xfId="375"/>
    <cellStyle name="60% - Ênfase6 2 4" xfId="376"/>
    <cellStyle name="60% - Ênfase6 2 5" xfId="377"/>
    <cellStyle name="60% - Ênfase6 2 6" xfId="378"/>
    <cellStyle name="60% - Ênfase6 2 7" xfId="379"/>
    <cellStyle name="60% - Ênfase6 3" xfId="380"/>
    <cellStyle name="60% - Ênfase6 3 2" xfId="381"/>
    <cellStyle name="60% - Ênfase6 3 3" xfId="382"/>
    <cellStyle name="60% - Ênfase6 3 4" xfId="383"/>
    <cellStyle name="60% - Ênfase6 3 5" xfId="384"/>
    <cellStyle name="60% - Ênfase6 3 6" xfId="385"/>
    <cellStyle name="60% - Ênfase6 37" xfId="386"/>
    <cellStyle name="60% - Ênfase6 4" xfId="387"/>
    <cellStyle name="60% - Ênfase6 5" xfId="388"/>
    <cellStyle name="60% - Ênfase6 6" xfId="389"/>
    <cellStyle name="60% - Ênfase6 7" xfId="390"/>
    <cellStyle name="60% - Ênfase6 8" xfId="391"/>
    <cellStyle name="60% - Ênfase6 9" xfId="392"/>
    <cellStyle name="ARIAL" xfId="393"/>
    <cellStyle name="ARIAL 2" xfId="394"/>
    <cellStyle name="Bom" xfId="395"/>
    <cellStyle name="Bom 2" xfId="396"/>
    <cellStyle name="Bom 2 2" xfId="397"/>
    <cellStyle name="Bom 2 2 2" xfId="398"/>
    <cellStyle name="Bom 2 3" xfId="399"/>
    <cellStyle name="Bom 2 4" xfId="400"/>
    <cellStyle name="Bom 3" xfId="401"/>
    <cellStyle name="Cálculo" xfId="402"/>
    <cellStyle name="Cálculo 10" xfId="403"/>
    <cellStyle name="Cálculo 11" xfId="404"/>
    <cellStyle name="Cálculo 12" xfId="405"/>
    <cellStyle name="Cálculo 2" xfId="406"/>
    <cellStyle name="Cálculo 2 2" xfId="407"/>
    <cellStyle name="Cálculo 2 3" xfId="408"/>
    <cellStyle name="Cálculo 2 4" xfId="409"/>
    <cellStyle name="Cálculo 2 5" xfId="410"/>
    <cellStyle name="Cálculo 2 6" xfId="411"/>
    <cellStyle name="Cálculo 2 7" xfId="412"/>
    <cellStyle name="Cálculo 2 8" xfId="413"/>
    <cellStyle name="Cálculo 3" xfId="414"/>
    <cellStyle name="Cálculo 3 2" xfId="415"/>
    <cellStyle name="Cálculo 3 3" xfId="416"/>
    <cellStyle name="Cálculo 3 4" xfId="417"/>
    <cellStyle name="Cálculo 3 5" xfId="418"/>
    <cellStyle name="Cálculo 3 6" xfId="419"/>
    <cellStyle name="Cálculo 3 7" xfId="420"/>
    <cellStyle name="Cálculo 4" xfId="421"/>
    <cellStyle name="Cálculo 5" xfId="422"/>
    <cellStyle name="Cálculo 6" xfId="423"/>
    <cellStyle name="Cálculo 7" xfId="424"/>
    <cellStyle name="Cálculo 8" xfId="425"/>
    <cellStyle name="Cálculo 9" xfId="426"/>
    <cellStyle name="Célula de Verificação" xfId="427"/>
    <cellStyle name="Célula de Verificação 2" xfId="428"/>
    <cellStyle name="Célula de Verificação 2 2" xfId="429"/>
    <cellStyle name="Célula de Verificação 2 2 2" xfId="430"/>
    <cellStyle name="Célula de Verificação 2 3" xfId="431"/>
    <cellStyle name="Célula de Verificação 2 4" xfId="432"/>
    <cellStyle name="Célula de Verificação 2 5" xfId="433"/>
    <cellStyle name="Célula de Verificação 2 6" xfId="434"/>
    <cellStyle name="Célula de Verificação 3" xfId="435"/>
    <cellStyle name="Célula de Verificação 3 2" xfId="436"/>
    <cellStyle name="Célula de Verificação 3 3" xfId="437"/>
    <cellStyle name="Célula de Verificação 3 4" xfId="438"/>
    <cellStyle name="Célula de Verificação 3 5" xfId="439"/>
    <cellStyle name="Célula de Verificação 4" xfId="440"/>
    <cellStyle name="Célula de Verificação 5" xfId="441"/>
    <cellStyle name="Célula de Verificação 6" xfId="442"/>
    <cellStyle name="Célula de Verificação 7" xfId="443"/>
    <cellStyle name="Célula de Verificação 8" xfId="444"/>
    <cellStyle name="Célula de Verificação 9" xfId="445"/>
    <cellStyle name="Célula Vinculada" xfId="446"/>
    <cellStyle name="Célula Vinculada 10" xfId="447"/>
    <cellStyle name="Célula Vinculada 2" xfId="448"/>
    <cellStyle name="Célula Vinculada 2 2" xfId="449"/>
    <cellStyle name="Célula Vinculada 2 3" xfId="450"/>
    <cellStyle name="Célula Vinculada 2 4" xfId="451"/>
    <cellStyle name="Célula Vinculada 2 5" xfId="452"/>
    <cellStyle name="Célula Vinculada 2 6" xfId="453"/>
    <cellStyle name="Célula Vinculada 3" xfId="454"/>
    <cellStyle name="Célula Vinculada 3 2" xfId="455"/>
    <cellStyle name="Célula Vinculada 3 3" xfId="456"/>
    <cellStyle name="Célula Vinculada 3 4" xfId="457"/>
    <cellStyle name="Célula Vinculada 3 5" xfId="458"/>
    <cellStyle name="Célula Vinculada 4" xfId="459"/>
    <cellStyle name="Célula Vinculada 4 2" xfId="460"/>
    <cellStyle name="Célula Vinculada 5" xfId="461"/>
    <cellStyle name="Célula Vinculada 5 2" xfId="462"/>
    <cellStyle name="Célula Vinculada 6" xfId="463"/>
    <cellStyle name="Célula Vinculada 7" xfId="464"/>
    <cellStyle name="Célula Vinculada 8" xfId="465"/>
    <cellStyle name="Célula Vinculada 9" xfId="466"/>
    <cellStyle name="Ênfase1" xfId="467"/>
    <cellStyle name="Ênfase1 10" xfId="468"/>
    <cellStyle name="Ênfase1 11" xfId="469"/>
    <cellStyle name="Ênfase1 12" xfId="470"/>
    <cellStyle name="Ênfase1 2" xfId="471"/>
    <cellStyle name="Ênfase1 2 2" xfId="472"/>
    <cellStyle name="Ênfase1 2 2 2" xfId="473"/>
    <cellStyle name="Ênfase1 2 3" xfId="474"/>
    <cellStyle name="Ênfase1 2 4" xfId="475"/>
    <cellStyle name="Ênfase1 2 5" xfId="476"/>
    <cellStyle name="Ênfase1 2 6" xfId="477"/>
    <cellStyle name="Ênfase1 2 7" xfId="478"/>
    <cellStyle name="Ênfase1 2 8" xfId="479"/>
    <cellStyle name="Ênfase1 3" xfId="480"/>
    <cellStyle name="Ênfase1 3 2" xfId="481"/>
    <cellStyle name="Ênfase1 3 3" xfId="482"/>
    <cellStyle name="Ênfase1 3 4" xfId="483"/>
    <cellStyle name="Ênfase1 3 5" xfId="484"/>
    <cellStyle name="Ênfase1 3 6" xfId="485"/>
    <cellStyle name="Ênfase1 3 7" xfId="486"/>
    <cellStyle name="Ênfase1 4" xfId="487"/>
    <cellStyle name="Ênfase1 5" xfId="488"/>
    <cellStyle name="Ênfase1 6" xfId="489"/>
    <cellStyle name="Ênfase1 7" xfId="490"/>
    <cellStyle name="Ênfase1 8" xfId="491"/>
    <cellStyle name="Ênfase1 9" xfId="492"/>
    <cellStyle name="Ênfase2" xfId="493"/>
    <cellStyle name="Ênfase2 2" xfId="494"/>
    <cellStyle name="Ênfase2 2 2" xfId="495"/>
    <cellStyle name="Ênfase2 2 2 2" xfId="496"/>
    <cellStyle name="Ênfase2 3" xfId="497"/>
    <cellStyle name="Ênfase3" xfId="498"/>
    <cellStyle name="Ênfase3 2" xfId="499"/>
    <cellStyle name="Ênfase3 2 2" xfId="500"/>
    <cellStyle name="Ênfase3 2 2 2" xfId="501"/>
    <cellStyle name="Ênfase3 2 3" xfId="502"/>
    <cellStyle name="Ênfase3 2 4" xfId="503"/>
    <cellStyle name="Ênfase3 2 5" xfId="504"/>
    <cellStyle name="Ênfase3 2 6" xfId="505"/>
    <cellStyle name="Ênfase3 3" xfId="506"/>
    <cellStyle name="Ênfase3 3 2" xfId="507"/>
    <cellStyle name="Ênfase3 3 3" xfId="508"/>
    <cellStyle name="Ênfase3 3 4" xfId="509"/>
    <cellStyle name="Ênfase3 3 5" xfId="510"/>
    <cellStyle name="Ênfase3 4" xfId="511"/>
    <cellStyle name="Ênfase3 5" xfId="512"/>
    <cellStyle name="Ênfase3 6" xfId="513"/>
    <cellStyle name="Ênfase3 7" xfId="514"/>
    <cellStyle name="Ênfase3 8" xfId="515"/>
    <cellStyle name="Ênfase3 9" xfId="516"/>
    <cellStyle name="Ênfase4" xfId="517"/>
    <cellStyle name="Ênfase4 10" xfId="518"/>
    <cellStyle name="Ênfase4 11" xfId="519"/>
    <cellStyle name="Ênfase4 12" xfId="520"/>
    <cellStyle name="Ênfase4 2" xfId="521"/>
    <cellStyle name="Ênfase4 2 2" xfId="522"/>
    <cellStyle name="Ênfase4 2 2 2" xfId="523"/>
    <cellStyle name="Ênfase4 2 3" xfId="524"/>
    <cellStyle name="Ênfase4 2 4" xfId="525"/>
    <cellStyle name="Ênfase4 2 5" xfId="526"/>
    <cellStyle name="Ênfase4 2 6" xfId="527"/>
    <cellStyle name="Ênfase4 2 7" xfId="528"/>
    <cellStyle name="Ênfase4 2 8" xfId="529"/>
    <cellStyle name="Ênfase4 3" xfId="530"/>
    <cellStyle name="Ênfase4 3 2" xfId="531"/>
    <cellStyle name="Ênfase4 3 3" xfId="532"/>
    <cellStyle name="Ênfase4 3 4" xfId="533"/>
    <cellStyle name="Ênfase4 3 5" xfId="534"/>
    <cellStyle name="Ênfase4 3 6" xfId="535"/>
    <cellStyle name="Ênfase4 3 7" xfId="536"/>
    <cellStyle name="Ênfase4 4" xfId="537"/>
    <cellStyle name="Ênfase4 5" xfId="538"/>
    <cellStyle name="Ênfase4 6" xfId="539"/>
    <cellStyle name="Ênfase4 7" xfId="540"/>
    <cellStyle name="Ênfase4 8" xfId="541"/>
    <cellStyle name="Ênfase4 9" xfId="542"/>
    <cellStyle name="Ênfase5" xfId="543"/>
    <cellStyle name="Ênfase5 2" xfId="544"/>
    <cellStyle name="Ênfase5 2 2" xfId="545"/>
    <cellStyle name="Ênfase5 2 2 2" xfId="546"/>
    <cellStyle name="Ênfase5 2 3" xfId="547"/>
    <cellStyle name="Ênfase5 2 4" xfId="548"/>
    <cellStyle name="Ênfase5 2 5" xfId="549"/>
    <cellStyle name="Ênfase5 2 6" xfId="550"/>
    <cellStyle name="Ênfase5 3" xfId="551"/>
    <cellStyle name="Ênfase5 3 2" xfId="552"/>
    <cellStyle name="Ênfase5 3 3" xfId="553"/>
    <cellStyle name="Ênfase5 3 4" xfId="554"/>
    <cellStyle name="Ênfase5 3 5" xfId="555"/>
    <cellStyle name="Ênfase5 4" xfId="556"/>
    <cellStyle name="Ênfase5 5" xfId="557"/>
    <cellStyle name="Ênfase5 6" xfId="558"/>
    <cellStyle name="Ênfase5 7" xfId="559"/>
    <cellStyle name="Ênfase5 8" xfId="560"/>
    <cellStyle name="Ênfase5 9" xfId="561"/>
    <cellStyle name="Ênfase6" xfId="562"/>
    <cellStyle name="Ênfase6 2" xfId="563"/>
    <cellStyle name="Ênfase6 2 2" xfId="564"/>
    <cellStyle name="Ênfase6 2 2 2" xfId="565"/>
    <cellStyle name="Ênfase6 2 3" xfId="566"/>
    <cellStyle name="Ênfase6 2 4" xfId="567"/>
    <cellStyle name="Ênfase6 2 5" xfId="568"/>
    <cellStyle name="Ênfase6 2 6" xfId="569"/>
    <cellStyle name="Ênfase6 3" xfId="570"/>
    <cellStyle name="Ênfase6 3 2" xfId="571"/>
    <cellStyle name="Ênfase6 3 3" xfId="572"/>
    <cellStyle name="Ênfase6 3 4" xfId="573"/>
    <cellStyle name="Ênfase6 3 5" xfId="574"/>
    <cellStyle name="Ênfase6 4" xfId="575"/>
    <cellStyle name="Ênfase6 5" xfId="576"/>
    <cellStyle name="Ênfase6 6" xfId="577"/>
    <cellStyle name="Ênfase6 7" xfId="578"/>
    <cellStyle name="Ênfase6 8" xfId="579"/>
    <cellStyle name="Ênfase6 9" xfId="580"/>
    <cellStyle name="Entrada" xfId="581"/>
    <cellStyle name="Entrada 10" xfId="582"/>
    <cellStyle name="Entrada 11" xfId="583"/>
    <cellStyle name="Entrada 12" xfId="584"/>
    <cellStyle name="Entrada 2" xfId="585"/>
    <cellStyle name="Entrada 2 2" xfId="586"/>
    <cellStyle name="Entrada 2 3" xfId="587"/>
    <cellStyle name="Entrada 2 4" xfId="588"/>
    <cellStyle name="Entrada 2 5" xfId="589"/>
    <cellStyle name="Entrada 2 6" xfId="590"/>
    <cellStyle name="Entrada 2 7" xfId="591"/>
    <cellStyle name="Entrada 2 8" xfId="592"/>
    <cellStyle name="Entrada 3" xfId="593"/>
    <cellStyle name="Entrada 3 2" xfId="594"/>
    <cellStyle name="Entrada 3 3" xfId="595"/>
    <cellStyle name="Entrada 3 4" xfId="596"/>
    <cellStyle name="Entrada 3 5" xfId="597"/>
    <cellStyle name="Entrada 3 6" xfId="598"/>
    <cellStyle name="Entrada 3 7" xfId="599"/>
    <cellStyle name="Entrada 4" xfId="600"/>
    <cellStyle name="Entrada 5" xfId="601"/>
    <cellStyle name="Entrada 6" xfId="602"/>
    <cellStyle name="Entrada 7" xfId="603"/>
    <cellStyle name="Entrada 8" xfId="604"/>
    <cellStyle name="Entrada 9" xfId="605"/>
    <cellStyle name="Euro" xfId="606"/>
    <cellStyle name="Euro 2" xfId="607"/>
    <cellStyle name="Euro 3" xfId="608"/>
    <cellStyle name="Euro 3 2" xfId="609"/>
    <cellStyle name="Euro 3 2 2" xfId="610"/>
    <cellStyle name="Euro 3 3" xfId="611"/>
    <cellStyle name="Euro 4" xfId="612"/>
    <cellStyle name="Excel Built-in Comma" xfId="613"/>
    <cellStyle name="Excel Built-in Excel Built-in Excel Built-in Excel Built-in Excel Built-in Excel Built-in Excel Built-in Excel Built-in Separador de milhares 4" xfId="614"/>
    <cellStyle name="Excel Built-in Excel Built-in Excel Built-in Excel Built-in Excel Built-in Excel Built-in Excel Built-in Separador de milhares 4" xfId="615"/>
    <cellStyle name="Excel Built-in Normal" xfId="616"/>
    <cellStyle name="Excel Built-in Normal 1" xfId="617"/>
    <cellStyle name="Excel Built-in Normal 2" xfId="618"/>
    <cellStyle name="Excel Built-in Normal 3" xfId="619"/>
    <cellStyle name="Excel_BuiltIn_Comma" xfId="620"/>
    <cellStyle name="Heading" xfId="621"/>
    <cellStyle name="Heading 2" xfId="622"/>
    <cellStyle name="Heading1" xfId="623"/>
    <cellStyle name="Heading1 2" xfId="624"/>
    <cellStyle name="Hyperlink" xfId="625"/>
    <cellStyle name="Hiperlink 2" xfId="626"/>
    <cellStyle name="Followed Hyperlink" xfId="627"/>
    <cellStyle name="Incorreto 2" xfId="628"/>
    <cellStyle name="Incorreto 2 2" xfId="629"/>
    <cellStyle name="Incorreto 2 2 2" xfId="630"/>
    <cellStyle name="Incorreto 3" xfId="631"/>
    <cellStyle name="M S SANS SERIF" xfId="632"/>
    <cellStyle name="M S SANS SERIF 2" xfId="633"/>
    <cellStyle name="Currency" xfId="634"/>
    <cellStyle name="Currency [0]" xfId="635"/>
    <cellStyle name="Moeda 2" xfId="636"/>
    <cellStyle name="Moeda 2 2" xfId="637"/>
    <cellStyle name="Moeda 2 2 2" xfId="638"/>
    <cellStyle name="Moeda 2 2 2 2" xfId="639"/>
    <cellStyle name="Moeda 2 2 2 3" xfId="640"/>
    <cellStyle name="Moeda 2 2 3" xfId="641"/>
    <cellStyle name="Moeda 2 2 3 2" xfId="642"/>
    <cellStyle name="Moeda 2 2 4" xfId="643"/>
    <cellStyle name="Moeda 2 2 4 2" xfId="644"/>
    <cellStyle name="Moeda 2 2 4 3" xfId="645"/>
    <cellStyle name="Moeda 2 2 5" xfId="646"/>
    <cellStyle name="Moeda 2 2 6" xfId="647"/>
    <cellStyle name="Moeda 2 2 7" xfId="648"/>
    <cellStyle name="Moeda 2 2 7 2" xfId="649"/>
    <cellStyle name="Moeda 2 2 8" xfId="650"/>
    <cellStyle name="Moeda 2 3" xfId="651"/>
    <cellStyle name="Moeda 2 3 2" xfId="652"/>
    <cellStyle name="Moeda 2 3 2 2" xfId="653"/>
    <cellStyle name="Moeda 2 3 3" xfId="654"/>
    <cellStyle name="Moeda 2 4" xfId="655"/>
    <cellStyle name="Moeda 2 5" xfId="656"/>
    <cellStyle name="Moeda 3" xfId="657"/>
    <cellStyle name="Moeda 3 2" xfId="658"/>
    <cellStyle name="Moeda 3 2 2" xfId="659"/>
    <cellStyle name="Moeda 3 3" xfId="660"/>
    <cellStyle name="Moeda 3 4" xfId="661"/>
    <cellStyle name="Moeda 4" xfId="662"/>
    <cellStyle name="Moeda 5" xfId="663"/>
    <cellStyle name="Moeda 6" xfId="664"/>
    <cellStyle name="Moeda 7" xfId="665"/>
    <cellStyle name="Moeda 8" xfId="666"/>
    <cellStyle name="Neutra 2" xfId="667"/>
    <cellStyle name="Neutra 2 2" xfId="668"/>
    <cellStyle name="Neutra 2 3" xfId="669"/>
    <cellStyle name="Neutra 2 4" xfId="670"/>
    <cellStyle name="Neutra 2 5" xfId="671"/>
    <cellStyle name="Neutra 2 6" xfId="672"/>
    <cellStyle name="Neutra 3" xfId="673"/>
    <cellStyle name="Neutra 3 2" xfId="674"/>
    <cellStyle name="Neutra 3 3" xfId="675"/>
    <cellStyle name="Neutra 3 4" xfId="676"/>
    <cellStyle name="Neutra 3 5" xfId="677"/>
    <cellStyle name="Neutra 4" xfId="678"/>
    <cellStyle name="Neutra 5" xfId="679"/>
    <cellStyle name="Neutra 6" xfId="680"/>
    <cellStyle name="Neutra 7" xfId="681"/>
    <cellStyle name="Neutra 8" xfId="682"/>
    <cellStyle name="Neutra 9" xfId="683"/>
    <cellStyle name="Neutro" xfId="684"/>
    <cellStyle name="Normal 10" xfId="685"/>
    <cellStyle name="Normal 10 2" xfId="686"/>
    <cellStyle name="Normal 10 2 2" xfId="687"/>
    <cellStyle name="Normal 10 3" xfId="688"/>
    <cellStyle name="Normal 10 3 2" xfId="689"/>
    <cellStyle name="Normal 10 4" xfId="690"/>
    <cellStyle name="Normal 11" xfId="691"/>
    <cellStyle name="Normal 11 2" xfId="692"/>
    <cellStyle name="Normal 12" xfId="693"/>
    <cellStyle name="Normal 12 2" xfId="694"/>
    <cellStyle name="Normal 12 2 2" xfId="695"/>
    <cellStyle name="Normal 13" xfId="696"/>
    <cellStyle name="Normal 13 2" xfId="697"/>
    <cellStyle name="Normal 14" xfId="698"/>
    <cellStyle name="Normal 14 2" xfId="699"/>
    <cellStyle name="Normal 14 3" xfId="700"/>
    <cellStyle name="Normal 15" xfId="701"/>
    <cellStyle name="Normal 15 2" xfId="702"/>
    <cellStyle name="Normal 15 3" xfId="703"/>
    <cellStyle name="Normal 16" xfId="704"/>
    <cellStyle name="Normal 16 2" xfId="705"/>
    <cellStyle name="Normal 17" xfId="706"/>
    <cellStyle name="Normal 17 2" xfId="707"/>
    <cellStyle name="Normal 17 3" xfId="708"/>
    <cellStyle name="Normal 18" xfId="709"/>
    <cellStyle name="Normal 18 2" xfId="710"/>
    <cellStyle name="Normal 18 3" xfId="711"/>
    <cellStyle name="Normal 19" xfId="712"/>
    <cellStyle name="Normal 2" xfId="713"/>
    <cellStyle name="Normal 2 2" xfId="714"/>
    <cellStyle name="Normal 2 2 2" xfId="715"/>
    <cellStyle name="Normal 2 2 2 2" xfId="716"/>
    <cellStyle name="Normal 2 2 3" xfId="717"/>
    <cellStyle name="Normal 2 3" xfId="718"/>
    <cellStyle name="Normal 2 3 2" xfId="719"/>
    <cellStyle name="Normal 2 3 2 2" xfId="720"/>
    <cellStyle name="Normal 2 3 3" xfId="721"/>
    <cellStyle name="Normal 2 4" xfId="722"/>
    <cellStyle name="Normal 2 4 2" xfId="723"/>
    <cellStyle name="Normal 2 4 2 2" xfId="724"/>
    <cellStyle name="Normal 2 4 3" xfId="725"/>
    <cellStyle name="Normal 2 5" xfId="726"/>
    <cellStyle name="Normal 2 5 2" xfId="727"/>
    <cellStyle name="Normal 2 6" xfId="728"/>
    <cellStyle name="Normal 2 7" xfId="729"/>
    <cellStyle name="Normal 20" xfId="730"/>
    <cellStyle name="Normal 21" xfId="731"/>
    <cellStyle name="Normal 22" xfId="732"/>
    <cellStyle name="Normal 23" xfId="733"/>
    <cellStyle name="Normal 3" xfId="734"/>
    <cellStyle name="Normal 3 2" xfId="735"/>
    <cellStyle name="Normal 3 2 2" xfId="736"/>
    <cellStyle name="Normal 3 2 2 2" xfId="737"/>
    <cellStyle name="Normal 3 2 2 2 2" xfId="738"/>
    <cellStyle name="Normal 3 2 2 3" xfId="739"/>
    <cellStyle name="Normal 3 2 3" xfId="740"/>
    <cellStyle name="Normal 3 2 4" xfId="741"/>
    <cellStyle name="Normal 3 2 4 2" xfId="742"/>
    <cellStyle name="Normal 3 2 5" xfId="743"/>
    <cellStyle name="Normal 3 2 6" xfId="744"/>
    <cellStyle name="Normal 3 2 6 2" xfId="745"/>
    <cellStyle name="Normal 3 2 6 3" xfId="746"/>
    <cellStyle name="Normal 3 3" xfId="747"/>
    <cellStyle name="Normal 3 3 2" xfId="748"/>
    <cellStyle name="Normal 3 3 2 2" xfId="749"/>
    <cellStyle name="Normal 3 3 3" xfId="750"/>
    <cellStyle name="Normal 3 3 4" xfId="751"/>
    <cellStyle name="Normal 3 4" xfId="752"/>
    <cellStyle name="Normal 3 4 2" xfId="753"/>
    <cellStyle name="Normal 3 4 3" xfId="754"/>
    <cellStyle name="Normal 3 4 3 2" xfId="755"/>
    <cellStyle name="Normal 3 4 4" xfId="756"/>
    <cellStyle name="Normal 3 4 5" xfId="757"/>
    <cellStyle name="Normal 3 5" xfId="758"/>
    <cellStyle name="Normal 4" xfId="759"/>
    <cellStyle name="Normal 4 2" xfId="760"/>
    <cellStyle name="Normal 4 2 2" xfId="761"/>
    <cellStyle name="Normal 4 3" xfId="762"/>
    <cellStyle name="Normal 4 3 2" xfId="763"/>
    <cellStyle name="Normal 4 3 2 2" xfId="764"/>
    <cellStyle name="Normal 4 3 2 2 2" xfId="765"/>
    <cellStyle name="Normal 4 3 3" xfId="766"/>
    <cellStyle name="Normal 4 3 3 2" xfId="767"/>
    <cellStyle name="Normal 4 3 4" xfId="768"/>
    <cellStyle name="Normal 4 3 5" xfId="769"/>
    <cellStyle name="Normal 5" xfId="770"/>
    <cellStyle name="Normal 5 2" xfId="771"/>
    <cellStyle name="Normal 5 2 2" xfId="772"/>
    <cellStyle name="Normal 5 2 3" xfId="773"/>
    <cellStyle name="Normal 5 3" xfId="774"/>
    <cellStyle name="Normal 5 3 2" xfId="775"/>
    <cellStyle name="Normal 5 4" xfId="776"/>
    <cellStyle name="Normal 5 4 2" xfId="777"/>
    <cellStyle name="Normal 5 5" xfId="778"/>
    <cellStyle name="Normal 5 5 2" xfId="779"/>
    <cellStyle name="Normal 5 6" xfId="780"/>
    <cellStyle name="Normal 5 7" xfId="781"/>
    <cellStyle name="Normal 5 8" xfId="782"/>
    <cellStyle name="Normal 5 8 2" xfId="783"/>
    <cellStyle name="Normal 5 8 3" xfId="784"/>
    <cellStyle name="Normal 6" xfId="785"/>
    <cellStyle name="Normal 6 2" xfId="786"/>
    <cellStyle name="Normal 6 2 2" xfId="787"/>
    <cellStyle name="Normal 6 2 2 2" xfId="788"/>
    <cellStyle name="Normal 6 2 3" xfId="789"/>
    <cellStyle name="Normal 6 2 4" xfId="790"/>
    <cellStyle name="Normal 6 2 5" xfId="791"/>
    <cellStyle name="Normal 6 2 6" xfId="792"/>
    <cellStyle name="Normal 6 3" xfId="793"/>
    <cellStyle name="Normal 6 3 2" xfId="794"/>
    <cellStyle name="Normal 6 3 3" xfId="795"/>
    <cellStyle name="Normal 6 4" xfId="796"/>
    <cellStyle name="Normal 6 4 2" xfId="797"/>
    <cellStyle name="Normal 6 4 2 2" xfId="798"/>
    <cellStyle name="Normal 6 4 3" xfId="799"/>
    <cellStyle name="Normal 6 4 4" xfId="800"/>
    <cellStyle name="Normal 6 4 4 2" xfId="801"/>
    <cellStyle name="Normal 6 4 5" xfId="802"/>
    <cellStyle name="Normal 6 4 5 2" xfId="803"/>
    <cellStyle name="Normal 6 4 5 2 2" xfId="804"/>
    <cellStyle name="Normal 6 4 6" xfId="805"/>
    <cellStyle name="Normal 6 5" xfId="806"/>
    <cellStyle name="Normal 6 6" xfId="807"/>
    <cellStyle name="Normal 6 7" xfId="808"/>
    <cellStyle name="Normal 6 8" xfId="809"/>
    <cellStyle name="Normal 6 8 2" xfId="810"/>
    <cellStyle name="Normal 6 8 3" xfId="811"/>
    <cellStyle name="Normal 7" xfId="812"/>
    <cellStyle name="Normal 7 2" xfId="813"/>
    <cellStyle name="Normal 7 2 2" xfId="814"/>
    <cellStyle name="Normal 7 3" xfId="815"/>
    <cellStyle name="Normal 8" xfId="816"/>
    <cellStyle name="Normal 8 2" xfId="817"/>
    <cellStyle name="Normal 8 2 2" xfId="818"/>
    <cellStyle name="Normal 8 2 2 2" xfId="819"/>
    <cellStyle name="Normal 8 2 3" xfId="820"/>
    <cellStyle name="Normal 8 2 3 2" xfId="821"/>
    <cellStyle name="Normal 8 2 4" xfId="822"/>
    <cellStyle name="Normal 8 3" xfId="823"/>
    <cellStyle name="Normal 8 3 2" xfId="824"/>
    <cellStyle name="Normal 8 4" xfId="825"/>
    <cellStyle name="Normal 8 4 2" xfId="826"/>
    <cellStyle name="Normal 8 5" xfId="827"/>
    <cellStyle name="Normal 8 5 2" xfId="828"/>
    <cellStyle name="Normal 8 6" xfId="829"/>
    <cellStyle name="Normal 8 6 2" xfId="830"/>
    <cellStyle name="Normal 8 6 2 2" xfId="831"/>
    <cellStyle name="Normal 8 7" xfId="832"/>
    <cellStyle name="Normal 8 7 2" xfId="833"/>
    <cellStyle name="Normal 8 8" xfId="834"/>
    <cellStyle name="Normal 9" xfId="835"/>
    <cellStyle name="Normal 9 2" xfId="836"/>
    <cellStyle name="Normal 9 2 2" xfId="837"/>
    <cellStyle name="Normal 9 3" xfId="838"/>
    <cellStyle name="Normal 9 3 2" xfId="839"/>
    <cellStyle name="Normal 9 3 3" xfId="840"/>
    <cellStyle name="Normal 9 3 3 2" xfId="841"/>
    <cellStyle name="Normal 9 3 4" xfId="842"/>
    <cellStyle name="Normal 9 3 4 2" xfId="843"/>
    <cellStyle name="Normal 9 4" xfId="844"/>
    <cellStyle name="Normal 90" xfId="845"/>
    <cellStyle name="Nota" xfId="846"/>
    <cellStyle name="Nota 2" xfId="847"/>
    <cellStyle name="Nota 2 10" xfId="848"/>
    <cellStyle name="Nota 2 10 2" xfId="849"/>
    <cellStyle name="Nota 2 11" xfId="850"/>
    <cellStyle name="Nota 2 11 2" xfId="851"/>
    <cellStyle name="Nota 2 12" xfId="852"/>
    <cellStyle name="Nota 2 12 2" xfId="853"/>
    <cellStyle name="Nota 2 2" xfId="854"/>
    <cellStyle name="Nota 2 2 2" xfId="855"/>
    <cellStyle name="Nota 2 3" xfId="856"/>
    <cellStyle name="Nota 2 3 2" xfId="857"/>
    <cellStyle name="Nota 2 3 2 2" xfId="858"/>
    <cellStyle name="Nota 2 3 3" xfId="859"/>
    <cellStyle name="Nota 2 3 3 2" xfId="860"/>
    <cellStyle name="Nota 2 3 4" xfId="861"/>
    <cellStyle name="Nota 2 3 5" xfId="862"/>
    <cellStyle name="Nota 2 3 5 2" xfId="863"/>
    <cellStyle name="Nota 2 3 6" xfId="864"/>
    <cellStyle name="Nota 2 4" xfId="865"/>
    <cellStyle name="Nota 2 4 2" xfId="866"/>
    <cellStyle name="Nota 2 4 3" xfId="867"/>
    <cellStyle name="Nota 2 5" xfId="868"/>
    <cellStyle name="Nota 2 5 2" xfId="869"/>
    <cellStyle name="Nota 2 5 3" xfId="870"/>
    <cellStyle name="Nota 2 6" xfId="871"/>
    <cellStyle name="Nota 2 6 2" xfId="872"/>
    <cellStyle name="Nota 2 7" xfId="873"/>
    <cellStyle name="Nota 2 7 2" xfId="874"/>
    <cellStyle name="Nota 2 8" xfId="875"/>
    <cellStyle name="Nota 2 9" xfId="876"/>
    <cellStyle name="Nota 3" xfId="877"/>
    <cellStyle name="Nota 3 2" xfId="878"/>
    <cellStyle name="Nota 3 3" xfId="879"/>
    <cellStyle name="Nota 3 4" xfId="880"/>
    <cellStyle name="Nota 3 5" xfId="881"/>
    <cellStyle name="Nota 3 6" xfId="882"/>
    <cellStyle name="Nota 3 7" xfId="883"/>
    <cellStyle name="Nota 4" xfId="884"/>
    <cellStyle name="Nota 5" xfId="885"/>
    <cellStyle name="Nota 6" xfId="886"/>
    <cellStyle name="Nota 6 2" xfId="887"/>
    <cellStyle name="Nota 6 2 2" xfId="888"/>
    <cellStyle name="Nota 6 3" xfId="889"/>
    <cellStyle name="Nota 6 3 2" xfId="890"/>
    <cellStyle name="Nota 6 4" xfId="891"/>
    <cellStyle name="Nota 6 5" xfId="892"/>
    <cellStyle name="Nota 6 5 2" xfId="893"/>
    <cellStyle name="Nota 6 6" xfId="894"/>
    <cellStyle name="Nota 7" xfId="895"/>
    <cellStyle name="planilhas" xfId="896"/>
    <cellStyle name="Percent" xfId="897"/>
    <cellStyle name="Porcentagem 10" xfId="898"/>
    <cellStyle name="Porcentagem 11" xfId="899"/>
    <cellStyle name="Porcentagem 2" xfId="900"/>
    <cellStyle name="Porcentagem 2 2" xfId="901"/>
    <cellStyle name="Porcentagem 2 2 2" xfId="902"/>
    <cellStyle name="Porcentagem 2 3" xfId="903"/>
    <cellStyle name="Porcentagem 3" xfId="904"/>
    <cellStyle name="Porcentagem 3 2" xfId="905"/>
    <cellStyle name="Porcentagem 3 2 2" xfId="906"/>
    <cellStyle name="Porcentagem 3 2 2 2" xfId="907"/>
    <cellStyle name="Porcentagem 3 2 2 3" xfId="908"/>
    <cellStyle name="Porcentagem 3 2 3" xfId="909"/>
    <cellStyle name="Porcentagem 3 2 3 2" xfId="910"/>
    <cellStyle name="Porcentagem 3 2 4" xfId="911"/>
    <cellStyle name="Porcentagem 3 2 4 2" xfId="912"/>
    <cellStyle name="Porcentagem 3 2 4 3" xfId="913"/>
    <cellStyle name="Porcentagem 3 2 5" xfId="914"/>
    <cellStyle name="Porcentagem 3 2 6" xfId="915"/>
    <cellStyle name="Porcentagem 3 2 7" xfId="916"/>
    <cellStyle name="Porcentagem 3 2 7 2" xfId="917"/>
    <cellStyle name="Porcentagem 3 2 8" xfId="918"/>
    <cellStyle name="Porcentagem 3 3" xfId="919"/>
    <cellStyle name="Porcentagem 3 3 2" xfId="920"/>
    <cellStyle name="Porcentagem 3 3 2 2" xfId="921"/>
    <cellStyle name="Porcentagem 3 3 3" xfId="922"/>
    <cellStyle name="Porcentagem 3 3 4" xfId="923"/>
    <cellStyle name="Porcentagem 3 4" xfId="924"/>
    <cellStyle name="Porcentagem 3 5" xfId="925"/>
    <cellStyle name="Porcentagem 3 6" xfId="926"/>
    <cellStyle name="Porcentagem 3 6 2" xfId="927"/>
    <cellStyle name="Porcentagem 4" xfId="928"/>
    <cellStyle name="Porcentagem 4 2" xfId="929"/>
    <cellStyle name="Porcentagem 4 2 2" xfId="930"/>
    <cellStyle name="Porcentagem 4 3" xfId="931"/>
    <cellStyle name="Porcentagem 4 4" xfId="932"/>
    <cellStyle name="Porcentagem 4 5" xfId="933"/>
    <cellStyle name="Porcentagem 4 5 2" xfId="934"/>
    <cellStyle name="Porcentagem 5" xfId="935"/>
    <cellStyle name="Porcentagem 6" xfId="936"/>
    <cellStyle name="Porcentagem 6 2" xfId="937"/>
    <cellStyle name="Porcentagem 6 2 2" xfId="938"/>
    <cellStyle name="Porcentagem 7" xfId="939"/>
    <cellStyle name="Porcentagem 7 2" xfId="940"/>
    <cellStyle name="Porcentagem 7 3" xfId="941"/>
    <cellStyle name="Porcentagem 7 4" xfId="942"/>
    <cellStyle name="Porcentagem 8" xfId="943"/>
    <cellStyle name="Porcentagem 9" xfId="944"/>
    <cellStyle name="Result" xfId="945"/>
    <cellStyle name="Result 2" xfId="946"/>
    <cellStyle name="Result2" xfId="947"/>
    <cellStyle name="Result2 2" xfId="948"/>
    <cellStyle name="Ruim" xfId="949"/>
    <cellStyle name="Saída" xfId="950"/>
    <cellStyle name="Saída 10" xfId="951"/>
    <cellStyle name="Saída 11" xfId="952"/>
    <cellStyle name="Saída 12" xfId="953"/>
    <cellStyle name="Saída 13" xfId="954"/>
    <cellStyle name="Saída 2" xfId="955"/>
    <cellStyle name="Saída 2 2" xfId="956"/>
    <cellStyle name="Saída 2 3" xfId="957"/>
    <cellStyle name="Saída 2 4" xfId="958"/>
    <cellStyle name="Saída 2 5" xfId="959"/>
    <cellStyle name="Saída 2 6" xfId="960"/>
    <cellStyle name="Saída 2 7" xfId="961"/>
    <cellStyle name="Saída 2 8" xfId="962"/>
    <cellStyle name="Saída 3" xfId="963"/>
    <cellStyle name="Saída 3 2" xfId="964"/>
    <cellStyle name="Saída 3 3" xfId="965"/>
    <cellStyle name="Saída 3 4" xfId="966"/>
    <cellStyle name="Saída 3 5" xfId="967"/>
    <cellStyle name="Saída 3 6" xfId="968"/>
    <cellStyle name="Saída 3 7" xfId="969"/>
    <cellStyle name="Saída 4" xfId="970"/>
    <cellStyle name="Saída 4 2" xfId="971"/>
    <cellStyle name="Saída 5" xfId="972"/>
    <cellStyle name="Saída 5 2" xfId="973"/>
    <cellStyle name="Saída 6" xfId="974"/>
    <cellStyle name="Saída 7" xfId="975"/>
    <cellStyle name="Saída 8" xfId="976"/>
    <cellStyle name="Saída 9" xfId="977"/>
    <cellStyle name="Comma [0]" xfId="978"/>
    <cellStyle name="Separador de milhares 10" xfId="979"/>
    <cellStyle name="Separador de milhares 10 2" xfId="980"/>
    <cellStyle name="Separador de milhares 2" xfId="981"/>
    <cellStyle name="Separador de milhares 2 2" xfId="982"/>
    <cellStyle name="Separador de milhares 2 2 2" xfId="983"/>
    <cellStyle name="Separador de milhares 2 2 2 2" xfId="984"/>
    <cellStyle name="Separador de milhares 2 2 3" xfId="985"/>
    <cellStyle name="Separador de milhares 2 2 4" xfId="986"/>
    <cellStyle name="Separador de milhares 2 3" xfId="987"/>
    <cellStyle name="Separador de milhares 2 3 2" xfId="988"/>
    <cellStyle name="Separador de milhares 2 3 3" xfId="989"/>
    <cellStyle name="Separador de milhares 2 4" xfId="990"/>
    <cellStyle name="Separador de milhares 20" xfId="991"/>
    <cellStyle name="Separador de milhares 3" xfId="992"/>
    <cellStyle name="Separador de milhares 4" xfId="993"/>
    <cellStyle name="TableStyleLight1" xfId="994"/>
    <cellStyle name="Texto de Aviso" xfId="995"/>
    <cellStyle name="Texto de Aviso 2" xfId="996"/>
    <cellStyle name="Texto de Aviso 2 2" xfId="997"/>
    <cellStyle name="Texto de Aviso 2 2 2" xfId="998"/>
    <cellStyle name="Texto de Aviso 3" xfId="999"/>
    <cellStyle name="Texto Explicativo" xfId="1000"/>
    <cellStyle name="Texto Explicativo 2" xfId="1001"/>
    <cellStyle name="Texto Explicativo 2 2" xfId="1002"/>
    <cellStyle name="Texto Explicativo 2 2 2" xfId="1003"/>
    <cellStyle name="Texto Explicativo 3" xfId="1004"/>
    <cellStyle name="Título" xfId="1005"/>
    <cellStyle name="Título 1" xfId="1006"/>
    <cellStyle name="Título 1 10" xfId="1007"/>
    <cellStyle name="Título 1 11" xfId="1008"/>
    <cellStyle name="Título 1 12" xfId="1009"/>
    <cellStyle name="Título 1 13" xfId="1010"/>
    <cellStyle name="Título 1 14" xfId="1011"/>
    <cellStyle name="Título 1 2" xfId="1012"/>
    <cellStyle name="Título 1 2 2" xfId="1013"/>
    <cellStyle name="Título 1 2 3" xfId="1014"/>
    <cellStyle name="Título 1 2 4" xfId="1015"/>
    <cellStyle name="Título 1 2 5" xfId="1016"/>
    <cellStyle name="Título 1 2 6" xfId="1017"/>
    <cellStyle name="Título 1 2 7" xfId="1018"/>
    <cellStyle name="Título 1 3" xfId="1019"/>
    <cellStyle name="Título 1 3 2" xfId="1020"/>
    <cellStyle name="Título 1 3 3" xfId="1021"/>
    <cellStyle name="Título 1 3 4" xfId="1022"/>
    <cellStyle name="Título 1 3 5" xfId="1023"/>
    <cellStyle name="Título 1 3 6" xfId="1024"/>
    <cellStyle name="Título 1 3 7" xfId="1025"/>
    <cellStyle name="Título 1 4" xfId="1026"/>
    <cellStyle name="Título 1 5" xfId="1027"/>
    <cellStyle name="Título 1 5 2" xfId="1028"/>
    <cellStyle name="Título 1 6" xfId="1029"/>
    <cellStyle name="Título 1 6 2" xfId="1030"/>
    <cellStyle name="Título 1 7" xfId="1031"/>
    <cellStyle name="Título 1 8" xfId="1032"/>
    <cellStyle name="Título 1 9" xfId="1033"/>
    <cellStyle name="Título 10" xfId="1034"/>
    <cellStyle name="Título 11" xfId="1035"/>
    <cellStyle name="Título 12" xfId="1036"/>
    <cellStyle name="Título 13" xfId="1037"/>
    <cellStyle name="Título 13 2" xfId="1038"/>
    <cellStyle name="Título 14" xfId="1039"/>
    <cellStyle name="Título 15" xfId="1040"/>
    <cellStyle name="Título 2" xfId="1041"/>
    <cellStyle name="Título 2 10" xfId="1042"/>
    <cellStyle name="Título 2 11" xfId="1043"/>
    <cellStyle name="Título 2 12" xfId="1044"/>
    <cellStyle name="Título 2 2" xfId="1045"/>
    <cellStyle name="Título 2 2 2" xfId="1046"/>
    <cellStyle name="Título 2 2 3" xfId="1047"/>
    <cellStyle name="Título 2 2 4" xfId="1048"/>
    <cellStyle name="Título 2 2 5" xfId="1049"/>
    <cellStyle name="Título 2 2 6" xfId="1050"/>
    <cellStyle name="Título 2 2 7" xfId="1051"/>
    <cellStyle name="Título 2 2 8" xfId="1052"/>
    <cellStyle name="Título 2 3" xfId="1053"/>
    <cellStyle name="Título 2 3 2" xfId="1054"/>
    <cellStyle name="Título 2 3 3" xfId="1055"/>
    <cellStyle name="Título 2 3 4" xfId="1056"/>
    <cellStyle name="Título 2 3 5" xfId="1057"/>
    <cellStyle name="Título 2 3 6" xfId="1058"/>
    <cellStyle name="Título 2 3 7" xfId="1059"/>
    <cellStyle name="Título 2 4" xfId="1060"/>
    <cellStyle name="Título 2 5" xfId="1061"/>
    <cellStyle name="Título 2 6" xfId="1062"/>
    <cellStyle name="Título 2 7" xfId="1063"/>
    <cellStyle name="Título 2 8" xfId="1064"/>
    <cellStyle name="Título 2 9" xfId="1065"/>
    <cellStyle name="Título 3" xfId="1066"/>
    <cellStyle name="Título 3 10" xfId="1067"/>
    <cellStyle name="Título 3 11" xfId="1068"/>
    <cellStyle name="Título 3 12" xfId="1069"/>
    <cellStyle name="Título 3 13" xfId="1070"/>
    <cellStyle name="Título 3 14" xfId="1071"/>
    <cellStyle name="Título 3 2" xfId="1072"/>
    <cellStyle name="Título 3 2 2" xfId="1073"/>
    <cellStyle name="Título 3 2 3" xfId="1074"/>
    <cellStyle name="Título 3 2 4" xfId="1075"/>
    <cellStyle name="Título 3 2 5" xfId="1076"/>
    <cellStyle name="Título 3 2 6" xfId="1077"/>
    <cellStyle name="Título 3 2 7" xfId="1078"/>
    <cellStyle name="Título 3 3" xfId="1079"/>
    <cellStyle name="Título 3 3 2" xfId="1080"/>
    <cellStyle name="Título 3 3 3" xfId="1081"/>
    <cellStyle name="Título 3 3 4" xfId="1082"/>
    <cellStyle name="Título 3 3 5" xfId="1083"/>
    <cellStyle name="Título 3 3 6" xfId="1084"/>
    <cellStyle name="Título 3 3 7" xfId="1085"/>
    <cellStyle name="Título 3 4" xfId="1086"/>
    <cellStyle name="Título 3 5" xfId="1087"/>
    <cellStyle name="Título 3 5 2" xfId="1088"/>
    <cellStyle name="Título 3 6" xfId="1089"/>
    <cellStyle name="Título 3 6 2" xfId="1090"/>
    <cellStyle name="Título 3 7" xfId="1091"/>
    <cellStyle name="Título 3 8" xfId="1092"/>
    <cellStyle name="Título 3 8 2" xfId="1093"/>
    <cellStyle name="Título 3 9" xfId="1094"/>
    <cellStyle name="Título 4" xfId="1095"/>
    <cellStyle name="Título 4 10" xfId="1096"/>
    <cellStyle name="Título 4 11" xfId="1097"/>
    <cellStyle name="Título 4 12" xfId="1098"/>
    <cellStyle name="Título 4 13" xfId="1099"/>
    <cellStyle name="Título 4 14" xfId="1100"/>
    <cellStyle name="Título 4 2" xfId="1101"/>
    <cellStyle name="Título 4 2 2" xfId="1102"/>
    <cellStyle name="Título 4 2 3" xfId="1103"/>
    <cellStyle name="Título 4 2 4" xfId="1104"/>
    <cellStyle name="Título 4 2 5" xfId="1105"/>
    <cellStyle name="Título 4 2 6" xfId="1106"/>
    <cellStyle name="Título 4 2 7" xfId="1107"/>
    <cellStyle name="Título 4 3" xfId="1108"/>
    <cellStyle name="Título 4 3 2" xfId="1109"/>
    <cellStyle name="Título 4 3 3" xfId="1110"/>
    <cellStyle name="Título 4 3 4" xfId="1111"/>
    <cellStyle name="Título 4 3 5" xfId="1112"/>
    <cellStyle name="Título 4 3 6" xfId="1113"/>
    <cellStyle name="Título 4 3 7" xfId="1114"/>
    <cellStyle name="Título 4 4" xfId="1115"/>
    <cellStyle name="Título 4 5" xfId="1116"/>
    <cellStyle name="Título 4 5 2" xfId="1117"/>
    <cellStyle name="Título 4 6" xfId="1118"/>
    <cellStyle name="Título 4 6 2" xfId="1119"/>
    <cellStyle name="Título 4 7" xfId="1120"/>
    <cellStyle name="Título 4 8" xfId="1121"/>
    <cellStyle name="Título 4 8 2" xfId="1122"/>
    <cellStyle name="Título 4 9" xfId="1123"/>
    <cellStyle name="Título 5" xfId="1124"/>
    <cellStyle name="Título 6" xfId="1125"/>
    <cellStyle name="Título 6 2" xfId="1126"/>
    <cellStyle name="Título 7" xfId="1127"/>
    <cellStyle name="Título 7 2" xfId="1128"/>
    <cellStyle name="Título 8" xfId="1129"/>
    <cellStyle name="Título 9" xfId="1130"/>
    <cellStyle name="Total" xfId="1131"/>
    <cellStyle name="Total 10" xfId="1132"/>
    <cellStyle name="Total 11" xfId="1133"/>
    <cellStyle name="Total 12" xfId="1134"/>
    <cellStyle name="Total 2" xfId="1135"/>
    <cellStyle name="Total 2 2" xfId="1136"/>
    <cellStyle name="Total 2 2 2" xfId="1137"/>
    <cellStyle name="Total 2 3" xfId="1138"/>
    <cellStyle name="Total 2 4" xfId="1139"/>
    <cellStyle name="Total 2 5" xfId="1140"/>
    <cellStyle name="Total 2 6" xfId="1141"/>
    <cellStyle name="Total 2 7" xfId="1142"/>
    <cellStyle name="Total 2 8" xfId="1143"/>
    <cellStyle name="Total 3" xfId="1144"/>
    <cellStyle name="Total 3 2" xfId="1145"/>
    <cellStyle name="Total 3 3" xfId="1146"/>
    <cellStyle name="Total 3 4" xfId="1147"/>
    <cellStyle name="Total 3 5" xfId="1148"/>
    <cellStyle name="Total 3 6" xfId="1149"/>
    <cellStyle name="Total 3 7" xfId="1150"/>
    <cellStyle name="Total 4" xfId="1151"/>
    <cellStyle name="Total 5" xfId="1152"/>
    <cellStyle name="Total 6" xfId="1153"/>
    <cellStyle name="Total 7" xfId="1154"/>
    <cellStyle name="Total 8" xfId="1155"/>
    <cellStyle name="Total 9" xfId="1156"/>
    <cellStyle name="Comma" xfId="1157"/>
    <cellStyle name="Vírgula 10" xfId="1158"/>
    <cellStyle name="Vírgula 10 2" xfId="1159"/>
    <cellStyle name="Vírgula 11" xfId="1160"/>
    <cellStyle name="Vírgula 11 2" xfId="1161"/>
    <cellStyle name="Vírgula 11 2 2" xfId="1162"/>
    <cellStyle name="Vírgula 12" xfId="1163"/>
    <cellStyle name="Vírgula 12 2" xfId="1164"/>
    <cellStyle name="Vírgula 12 2 2" xfId="1165"/>
    <cellStyle name="Vírgula 13" xfId="1166"/>
    <cellStyle name="Vírgula 13 2" xfId="1167"/>
    <cellStyle name="Vírgula 13 2 2" xfId="1168"/>
    <cellStyle name="Vírgula 13 2 3" xfId="1169"/>
    <cellStyle name="Vírgula 13 3" xfId="1170"/>
    <cellStyle name="Vírgula 13 4" xfId="1171"/>
    <cellStyle name="Vírgula 14" xfId="1172"/>
    <cellStyle name="Vírgula 14 2" xfId="1173"/>
    <cellStyle name="Vírgula 14 2 2" xfId="1174"/>
    <cellStyle name="Vírgula 14 3" xfId="1175"/>
    <cellStyle name="Vírgula 15" xfId="1176"/>
    <cellStyle name="Vírgula 16" xfId="1177"/>
    <cellStyle name="Vírgula 17" xfId="1178"/>
    <cellStyle name="Vírgula 2" xfId="1179"/>
    <cellStyle name="Vírgula 2 2" xfId="1180"/>
    <cellStyle name="Vírgula 2 2 2" xfId="1181"/>
    <cellStyle name="Vírgula 2 2 2 2" xfId="1182"/>
    <cellStyle name="Vírgula 2 2 2 2 2" xfId="1183"/>
    <cellStyle name="Vírgula 2 2 2 3" xfId="1184"/>
    <cellStyle name="Vírgula 2 2 3" xfId="1185"/>
    <cellStyle name="Vírgula 2 2 3 2" xfId="1186"/>
    <cellStyle name="Vírgula 2 2 3 2 2" xfId="1187"/>
    <cellStyle name="Vírgula 2 2 3 3" xfId="1188"/>
    <cellStyle name="Vírgula 2 2 4" xfId="1189"/>
    <cellStyle name="Vírgula 2 2 4 2" xfId="1190"/>
    <cellStyle name="Vírgula 2 2 5" xfId="1191"/>
    <cellStyle name="Vírgula 2 2 5 2" xfId="1192"/>
    <cellStyle name="Vírgula 2 2 6" xfId="1193"/>
    <cellStyle name="Vírgula 2 2 6 2" xfId="1194"/>
    <cellStyle name="Vírgula 2 2 6 3" xfId="1195"/>
    <cellStyle name="Vírgula 2 2 7" xfId="1196"/>
    <cellStyle name="Vírgula 2 2 7 2" xfId="1197"/>
    <cellStyle name="Vírgula 2 2 8" xfId="1198"/>
    <cellStyle name="Vírgula 2 3" xfId="1199"/>
    <cellStyle name="Vírgula 2 3 2" xfId="1200"/>
    <cellStyle name="Vírgula 2 3 3" xfId="1201"/>
    <cellStyle name="Vírgula 2 3 3 2" xfId="1202"/>
    <cellStyle name="Vírgula 2 3 4" xfId="1203"/>
    <cellStyle name="Vírgula 2 3 5" xfId="1204"/>
    <cellStyle name="Vírgula 2 3 5 2" xfId="1205"/>
    <cellStyle name="Vírgula 2 3 6" xfId="1206"/>
    <cellStyle name="Vírgula 2 4" xfId="1207"/>
    <cellStyle name="Vírgula 2 4 2" xfId="1208"/>
    <cellStyle name="Vírgula 2 4 2 2" xfId="1209"/>
    <cellStyle name="Vírgula 2 4 3" xfId="1210"/>
    <cellStyle name="Vírgula 2 4 3 2" xfId="1211"/>
    <cellStyle name="Vírgula 2 4 4" xfId="1212"/>
    <cellStyle name="Vírgula 2 4 4 2" xfId="1213"/>
    <cellStyle name="Vírgula 2 4 5" xfId="1214"/>
    <cellStyle name="Vírgula 2 4 5 2" xfId="1215"/>
    <cellStyle name="Vírgula 2 4 6" xfId="1216"/>
    <cellStyle name="Vírgula 2 5" xfId="1217"/>
    <cellStyle name="Vírgula 2 5 2" xfId="1218"/>
    <cellStyle name="Vírgula 2 6" xfId="1219"/>
    <cellStyle name="Vírgula 2 6 2" xfId="1220"/>
    <cellStyle name="Vírgula 2 6 3" xfId="1221"/>
    <cellStyle name="Vírgula 3" xfId="1222"/>
    <cellStyle name="Vírgula 3 2" xfId="1223"/>
    <cellStyle name="Vírgula 3 2 2" xfId="1224"/>
    <cellStyle name="Vírgula 3 2 3" xfId="1225"/>
    <cellStyle name="Vírgula 3 2 3 2" xfId="1226"/>
    <cellStyle name="Vírgula 3 2 4" xfId="1227"/>
    <cellStyle name="Vírgula 3 2 5" xfId="1228"/>
    <cellStyle name="Vírgula 3 2 5 2" xfId="1229"/>
    <cellStyle name="Vírgula 3 2 6" xfId="1230"/>
    <cellStyle name="Vírgula 3 2 6 2" xfId="1231"/>
    <cellStyle name="Vírgula 3 2 6 3" xfId="1232"/>
    <cellStyle name="Vírgula 3 2 7" xfId="1233"/>
    <cellStyle name="Vírgula 3 2 7 2" xfId="1234"/>
    <cellStyle name="Vírgula 3 3" xfId="1235"/>
    <cellStyle name="Vírgula 3 3 2" xfId="1236"/>
    <cellStyle name="Vírgula 3 3 2 2" xfId="1237"/>
    <cellStyle name="Vírgula 3 3 3" xfId="1238"/>
    <cellStyle name="Vírgula 3 3 4" xfId="1239"/>
    <cellStyle name="Vírgula 3 3 4 2" xfId="1240"/>
    <cellStyle name="Vírgula 3 3 4 3" xfId="1241"/>
    <cellStyle name="Vírgula 3 3 5" xfId="1242"/>
    <cellStyle name="Vírgula 3 3 5 2" xfId="1243"/>
    <cellStyle name="Vírgula 3 4" xfId="1244"/>
    <cellStyle name="Vírgula 3 4 2" xfId="1245"/>
    <cellStyle name="Vírgula 3 5" xfId="1246"/>
    <cellStyle name="Vírgula 3 6" xfId="1247"/>
    <cellStyle name="Vírgula 3 7" xfId="1248"/>
    <cellStyle name="Vírgula 3 7 2" xfId="1249"/>
    <cellStyle name="Vírgula 3 8" xfId="1250"/>
    <cellStyle name="Vírgula 3 9" xfId="1251"/>
    <cellStyle name="Vírgula 4" xfId="1252"/>
    <cellStyle name="Vírgula 4 2" xfId="1253"/>
    <cellStyle name="Vírgula 4 2 2" xfId="1254"/>
    <cellStyle name="Vírgula 4 2 2 2" xfId="1255"/>
    <cellStyle name="Vírgula 4 2 3" xfId="1256"/>
    <cellStyle name="Vírgula 4 2 3 2" xfId="1257"/>
    <cellStyle name="Vírgula 4 2 4" xfId="1258"/>
    <cellStyle name="Vírgula 4 2 4 2" xfId="1259"/>
    <cellStyle name="Vírgula 4 2 5" xfId="1260"/>
    <cellStyle name="Vírgula 4 2 6" xfId="1261"/>
    <cellStyle name="Vírgula 4 3" xfId="1262"/>
    <cellStyle name="Vírgula 4 3 2" xfId="1263"/>
    <cellStyle name="Vírgula 4 3 2 2" xfId="1264"/>
    <cellStyle name="Vírgula 4 3 3" xfId="1265"/>
    <cellStyle name="Vírgula 4 3 3 2" xfId="1266"/>
    <cellStyle name="Vírgula 4 3 4" xfId="1267"/>
    <cellStyle name="Vírgula 4 3 5" xfId="1268"/>
    <cellStyle name="Vírgula 4 3 5 2" xfId="1269"/>
    <cellStyle name="Vírgula 4 3 6" xfId="1270"/>
    <cellStyle name="Vírgula 4 4" xfId="1271"/>
    <cellStyle name="Vírgula 4 4 2" xfId="1272"/>
    <cellStyle name="Vírgula 4 4 2 2" xfId="1273"/>
    <cellStyle name="Vírgula 4 4 2 2 2" xfId="1274"/>
    <cellStyle name="Vírgula 4 4 3" xfId="1275"/>
    <cellStyle name="Vírgula 4 4 3 2" xfId="1276"/>
    <cellStyle name="Vírgula 4 4 4" xfId="1277"/>
    <cellStyle name="Vírgula 4 5" xfId="1278"/>
    <cellStyle name="Vírgula 4 5 2" xfId="1279"/>
    <cellStyle name="Vírgula 4 6" xfId="1280"/>
    <cellStyle name="Vírgula 4 6 2" xfId="1281"/>
    <cellStyle name="Vírgula 4 7" xfId="1282"/>
    <cellStyle name="Vírgula 4 7 2" xfId="1283"/>
    <cellStyle name="Vírgula 4 8" xfId="1284"/>
    <cellStyle name="Vírgula 4 8 2" xfId="1285"/>
    <cellStyle name="Vírgula 4 9" xfId="1286"/>
    <cellStyle name="Vírgula 5" xfId="1287"/>
    <cellStyle name="Vírgula 5 2" xfId="1288"/>
    <cellStyle name="Vírgula 5 2 2" xfId="1289"/>
    <cellStyle name="Vírgula 5 2 2 2" xfId="1290"/>
    <cellStyle name="Vírgula 5 2 3" xfId="1291"/>
    <cellStyle name="Vírgula 5 3" xfId="1292"/>
    <cellStyle name="Vírgula 5 3 2" xfId="1293"/>
    <cellStyle name="Vírgula 5 4" xfId="1294"/>
    <cellStyle name="Vírgula 5 4 2" xfId="1295"/>
    <cellStyle name="Vírgula 5 5" xfId="1296"/>
    <cellStyle name="Vírgula 5 5 2" xfId="1297"/>
    <cellStyle name="Vírgula 6" xfId="1298"/>
    <cellStyle name="Vírgula 6 2" xfId="1299"/>
    <cellStyle name="Vírgula 6 2 2" xfId="1300"/>
    <cellStyle name="Vírgula 6 2 2 2" xfId="1301"/>
    <cellStyle name="Vírgula 6 2 2 2 2" xfId="1302"/>
    <cellStyle name="Vírgula 6 2 2 3" xfId="1303"/>
    <cellStyle name="Vírgula 6 2 2 3 2" xfId="1304"/>
    <cellStyle name="Vírgula 6 2 2 4" xfId="1305"/>
    <cellStyle name="Vírgula 6 2 3" xfId="1306"/>
    <cellStyle name="Vírgula 6 2 3 2" xfId="1307"/>
    <cellStyle name="Vírgula 6 2 4" xfId="1308"/>
    <cellStyle name="Vírgula 6 2 4 2" xfId="1309"/>
    <cellStyle name="Vírgula 6 2 4 2 2" xfId="1310"/>
    <cellStyle name="Vírgula 6 2 4 3" xfId="1311"/>
    <cellStyle name="Vírgula 6 2 4 3 2" xfId="1312"/>
    <cellStyle name="Vírgula 6 2 4 4" xfId="1313"/>
    <cellStyle name="Vírgula 6 2 5" xfId="1314"/>
    <cellStyle name="Vírgula 6 2 5 2" xfId="1315"/>
    <cellStyle name="Vírgula 6 2 6" xfId="1316"/>
    <cellStyle name="Vírgula 6 2 7" xfId="1317"/>
    <cellStyle name="Vírgula 6 2 7 2" xfId="1318"/>
    <cellStyle name="Vírgula 6 2 8" xfId="1319"/>
    <cellStyle name="Vírgula 6 3" xfId="1320"/>
    <cellStyle name="Vírgula 6 3 2" xfId="1321"/>
    <cellStyle name="Vírgula 6 4" xfId="1322"/>
    <cellStyle name="Vírgula 6 4 2" xfId="1323"/>
    <cellStyle name="Vírgula 6 4 2 2" xfId="1324"/>
    <cellStyle name="Vírgula 6 4 3" xfId="1325"/>
    <cellStyle name="Vírgula 6 4 3 2" xfId="1326"/>
    <cellStyle name="Vírgula 6 4 3 2 2" xfId="1327"/>
    <cellStyle name="Vírgula 6 5" xfId="1328"/>
    <cellStyle name="Vírgula 6 5 2" xfId="1329"/>
    <cellStyle name="Vírgula 6 5 2 2" xfId="1330"/>
    <cellStyle name="Vírgula 6 5 3" xfId="1331"/>
    <cellStyle name="Vírgula 6 5 3 2" xfId="1332"/>
    <cellStyle name="Vírgula 6 5 4" xfId="1333"/>
    <cellStyle name="Vírgula 6 6" xfId="1334"/>
    <cellStyle name="Vírgula 6 6 2" xfId="1335"/>
    <cellStyle name="Vírgula 6 6 2 2" xfId="1336"/>
    <cellStyle name="Vírgula 6 6 3" xfId="1337"/>
    <cellStyle name="Vírgula 6 6 3 2" xfId="1338"/>
    <cellStyle name="Vírgula 6 6 4" xfId="1339"/>
    <cellStyle name="Vírgula 6 7" xfId="1340"/>
    <cellStyle name="Vírgula 6 7 2" xfId="1341"/>
    <cellStyle name="Vírgula 6 8" xfId="1342"/>
    <cellStyle name="Vírgula 7" xfId="1343"/>
    <cellStyle name="Vírgula 7 2" xfId="1344"/>
    <cellStyle name="Vírgula 7 2 2" xfId="1345"/>
    <cellStyle name="Vírgula 7 3" xfId="1346"/>
    <cellStyle name="Vírgula 8" xfId="1347"/>
    <cellStyle name="Vírgula 8 2" xfId="1348"/>
    <cellStyle name="Vírgula 8 2 2" xfId="1349"/>
    <cellStyle name="Vírgula 8 3" xfId="1350"/>
    <cellStyle name="Vírgula 9" xfId="1351"/>
    <cellStyle name="Vírgula 9 2" xfId="1352"/>
    <cellStyle name="Vírgula 9 2 2" xfId="1353"/>
    <cellStyle name="Vírgula 9 3" xfId="1354"/>
  </cellStyles>
  <dxfs count="841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DDDDD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0</xdr:row>
      <xdr:rowOff>76200</xdr:rowOff>
    </xdr:from>
    <xdr:to>
      <xdr:col>6</xdr:col>
      <xdr:colOff>781050</xdr:colOff>
      <xdr:row>3</xdr:row>
      <xdr:rowOff>9525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76200"/>
          <a:ext cx="3562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cro1\c\Meus%20documentos\MOD-A01-R1-AGO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mmbb\HELN-M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O"/>
      <sheetName val="Espelho-Hab"/>
      <sheetName val="HABITAÇÃO"/>
      <sheetName val="Espelho-Infra"/>
      <sheetName val="INFRA"/>
      <sheetName val="Cronog-Global"/>
      <sheetName val="Cronog-hab"/>
      <sheetName val="Cronog-Infra"/>
      <sheetName val="Espec.HB fl. 01,03 e 04"/>
      <sheetName val="Espec.HB fl. 02"/>
      <sheetName val="B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DIÇÃO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view="pageBreakPreview" zoomScale="115" zoomScaleSheetLayoutView="115" zoomScalePageLayoutView="0" workbookViewId="0" topLeftCell="A1">
      <selection activeCell="C44" sqref="C44"/>
    </sheetView>
  </sheetViews>
  <sheetFormatPr defaultColWidth="9.140625" defaultRowHeight="12.75"/>
  <cols>
    <col min="1" max="1" width="18.57421875" style="36" customWidth="1"/>
    <col min="2" max="2" width="65.28125" style="36" customWidth="1"/>
    <col min="3" max="3" width="21.140625" style="36" customWidth="1"/>
    <col min="4" max="16384" width="9.140625" style="36" customWidth="1"/>
  </cols>
  <sheetData>
    <row r="1" spans="1:3" ht="15.75">
      <c r="A1" s="96" t="str">
        <f>+'ORÇ - CONSOLIDADO'!A2</f>
        <v>Elaboração</v>
      </c>
      <c r="B1" s="81"/>
      <c r="C1" s="82"/>
    </row>
    <row r="2" spans="1:3" ht="15.75">
      <c r="A2" s="97" t="str">
        <f>+'ORÇ - CONSOLIDADO'!A3</f>
        <v>Empreendimento:</v>
      </c>
      <c r="B2" s="83"/>
      <c r="C2" s="84"/>
    </row>
    <row r="3" spans="1:3" ht="15.75">
      <c r="A3" s="97" t="str">
        <f>+'ORÇ - CONSOLIDADO'!A4</f>
        <v>Unidade:</v>
      </c>
      <c r="B3" s="83"/>
      <c r="C3" s="84"/>
    </row>
    <row r="4" spans="1:3" ht="15.75">
      <c r="A4" s="98" t="str">
        <f>+'ORÇ - CONSOLIDADO'!A5</f>
        <v>Descrição da fase:</v>
      </c>
      <c r="B4" s="85"/>
      <c r="C4" s="86"/>
    </row>
    <row r="5" spans="1:3" ht="15.75">
      <c r="A5" s="263" t="s">
        <v>286</v>
      </c>
      <c r="B5" s="263"/>
      <c r="C5" s="263"/>
    </row>
    <row r="6" spans="1:3" ht="15.75">
      <c r="A6" s="87"/>
      <c r="B6" s="88" t="s">
        <v>254</v>
      </c>
      <c r="C6" s="88" t="s">
        <v>255</v>
      </c>
    </row>
    <row r="7" spans="1:3" ht="15.75">
      <c r="A7" s="89" t="s">
        <v>42</v>
      </c>
      <c r="B7" s="87" t="s">
        <v>380</v>
      </c>
      <c r="C7" s="90">
        <v>0</v>
      </c>
    </row>
    <row r="8" spans="1:3" ht="15.75">
      <c r="A8" s="89" t="s">
        <v>43</v>
      </c>
      <c r="B8" s="87" t="s">
        <v>256</v>
      </c>
      <c r="C8" s="90">
        <v>0</v>
      </c>
    </row>
    <row r="9" spans="1:3" ht="15.75">
      <c r="A9" s="89" t="s">
        <v>44</v>
      </c>
      <c r="B9" s="87" t="s">
        <v>257</v>
      </c>
      <c r="C9" s="90">
        <v>0</v>
      </c>
    </row>
    <row r="10" spans="1:3" ht="15.75">
      <c r="A10" s="89" t="s">
        <v>46</v>
      </c>
      <c r="B10" s="87" t="s">
        <v>259</v>
      </c>
      <c r="C10" s="90">
        <v>0</v>
      </c>
    </row>
    <row r="11" spans="1:3" ht="15.75">
      <c r="A11" s="89" t="s">
        <v>47</v>
      </c>
      <c r="B11" s="87" t="s">
        <v>258</v>
      </c>
      <c r="C11" s="90">
        <v>0</v>
      </c>
    </row>
    <row r="12" spans="1:3" ht="15.75">
      <c r="A12" s="89" t="s">
        <v>48</v>
      </c>
      <c r="B12" s="87" t="s">
        <v>45</v>
      </c>
      <c r="C12" s="90">
        <v>0</v>
      </c>
    </row>
    <row r="13" spans="1:3" ht="15.75">
      <c r="A13" s="89" t="s">
        <v>49</v>
      </c>
      <c r="B13" s="87" t="s">
        <v>260</v>
      </c>
      <c r="C13" s="90">
        <v>0</v>
      </c>
    </row>
    <row r="14" spans="1:3" ht="15.75">
      <c r="A14" s="89" t="s">
        <v>50</v>
      </c>
      <c r="B14" s="87" t="s">
        <v>381</v>
      </c>
      <c r="C14" s="90">
        <v>0</v>
      </c>
    </row>
    <row r="15" spans="1:3" ht="15.75">
      <c r="A15" s="89" t="s">
        <v>51</v>
      </c>
      <c r="B15" s="87" t="s">
        <v>261</v>
      </c>
      <c r="C15" s="90">
        <v>0</v>
      </c>
    </row>
    <row r="16" spans="1:7" ht="15.75">
      <c r="A16" s="88" t="s">
        <v>84</v>
      </c>
      <c r="B16" s="91" t="s">
        <v>273</v>
      </c>
      <c r="C16" s="92">
        <f>SUM(C7:C15)</f>
        <v>0</v>
      </c>
      <c r="G16" s="37"/>
    </row>
    <row r="17" spans="1:3" ht="15.75">
      <c r="A17" s="88"/>
      <c r="B17" s="91"/>
      <c r="C17" s="92"/>
    </row>
    <row r="18" spans="1:3" ht="15.75">
      <c r="A18" s="89" t="s">
        <v>52</v>
      </c>
      <c r="B18" s="87" t="s">
        <v>274</v>
      </c>
      <c r="C18" s="90">
        <v>0</v>
      </c>
    </row>
    <row r="19" spans="1:3" ht="15.75">
      <c r="A19" s="89" t="s">
        <v>53</v>
      </c>
      <c r="B19" s="144" t="s">
        <v>359</v>
      </c>
      <c r="C19" s="90">
        <v>0</v>
      </c>
    </row>
    <row r="20" spans="1:3" ht="15.75">
      <c r="A20" s="89" t="s">
        <v>54</v>
      </c>
      <c r="B20" s="87" t="s">
        <v>262</v>
      </c>
      <c r="C20" s="90">
        <v>0</v>
      </c>
    </row>
    <row r="21" spans="1:3" ht="15.75">
      <c r="A21" s="89" t="s">
        <v>56</v>
      </c>
      <c r="B21" s="144" t="s">
        <v>360</v>
      </c>
      <c r="C21" s="90">
        <v>0</v>
      </c>
    </row>
    <row r="22" spans="1:3" ht="15.75">
      <c r="A22" s="89" t="s">
        <v>57</v>
      </c>
      <c r="B22" s="87" t="s">
        <v>55</v>
      </c>
      <c r="C22" s="90">
        <v>0</v>
      </c>
    </row>
    <row r="23" spans="1:3" ht="15.75">
      <c r="A23" s="89" t="s">
        <v>361</v>
      </c>
      <c r="B23" s="144" t="s">
        <v>366</v>
      </c>
      <c r="C23" s="90">
        <v>0</v>
      </c>
    </row>
    <row r="24" spans="1:3" ht="15.75">
      <c r="A24" s="89" t="s">
        <v>362</v>
      </c>
      <c r="B24" s="144" t="s">
        <v>367</v>
      </c>
      <c r="C24" s="90">
        <v>0</v>
      </c>
    </row>
    <row r="25" spans="1:3" ht="15.75">
      <c r="A25" s="89" t="s">
        <v>363</v>
      </c>
      <c r="B25" s="144" t="s">
        <v>368</v>
      </c>
      <c r="C25" s="90">
        <v>0</v>
      </c>
    </row>
    <row r="26" spans="1:3" ht="15.75">
      <c r="A26" s="89" t="s">
        <v>364</v>
      </c>
      <c r="B26" s="144" t="s">
        <v>369</v>
      </c>
      <c r="C26" s="90">
        <v>0</v>
      </c>
    </row>
    <row r="27" spans="1:3" ht="15.75">
      <c r="A27" s="89" t="s">
        <v>365</v>
      </c>
      <c r="B27" s="144" t="s">
        <v>370</v>
      </c>
      <c r="C27" s="90">
        <v>0</v>
      </c>
    </row>
    <row r="28" spans="1:3" ht="15.75">
      <c r="A28" s="88" t="s">
        <v>85</v>
      </c>
      <c r="B28" s="93" t="s">
        <v>275</v>
      </c>
      <c r="C28" s="92">
        <f>SUM(C18:C27)</f>
        <v>0</v>
      </c>
    </row>
    <row r="29" spans="1:3" ht="15.75">
      <c r="A29" s="88"/>
      <c r="B29" s="93"/>
      <c r="C29" s="92"/>
    </row>
    <row r="30" spans="1:3" ht="18" customHeight="1">
      <c r="A30" s="89" t="s">
        <v>58</v>
      </c>
      <c r="B30" s="144" t="s">
        <v>371</v>
      </c>
      <c r="C30" s="90">
        <v>0</v>
      </c>
    </row>
    <row r="31" spans="1:3" ht="18" customHeight="1">
      <c r="A31" s="89" t="s">
        <v>59</v>
      </c>
      <c r="B31" s="144" t="s">
        <v>372</v>
      </c>
      <c r="C31" s="90">
        <v>0</v>
      </c>
    </row>
    <row r="32" spans="1:3" ht="15.75">
      <c r="A32" s="89" t="s">
        <v>60</v>
      </c>
      <c r="B32" s="144" t="s">
        <v>373</v>
      </c>
      <c r="C32" s="90">
        <v>0</v>
      </c>
    </row>
    <row r="33" spans="1:3" ht="15.75">
      <c r="A33" s="89" t="s">
        <v>376</v>
      </c>
      <c r="B33" s="144" t="s">
        <v>374</v>
      </c>
      <c r="C33" s="90">
        <v>0</v>
      </c>
    </row>
    <row r="34" spans="1:3" ht="15.75">
      <c r="A34" s="89" t="s">
        <v>377</v>
      </c>
      <c r="B34" s="144" t="s">
        <v>375</v>
      </c>
      <c r="C34" s="90">
        <v>0</v>
      </c>
    </row>
    <row r="35" spans="1:3" ht="15.75">
      <c r="A35" s="88" t="s">
        <v>263</v>
      </c>
      <c r="B35" s="94" t="s">
        <v>276</v>
      </c>
      <c r="C35" s="92">
        <f>SUM(C30:C34)</f>
        <v>0</v>
      </c>
    </row>
    <row r="36" spans="1:3" ht="15.75">
      <c r="A36" s="88"/>
      <c r="B36" s="94"/>
      <c r="C36" s="92"/>
    </row>
    <row r="37" spans="1:3" ht="15.75">
      <c r="A37" s="89" t="s">
        <v>61</v>
      </c>
      <c r="B37" s="144" t="s">
        <v>379</v>
      </c>
      <c r="C37" s="90">
        <v>0</v>
      </c>
    </row>
    <row r="38" spans="1:3" ht="26.25">
      <c r="A38" s="89" t="s">
        <v>62</v>
      </c>
      <c r="B38" s="145" t="s">
        <v>378</v>
      </c>
      <c r="C38" s="90">
        <v>0</v>
      </c>
    </row>
    <row r="39" spans="1:3" ht="15.75">
      <c r="A39" s="88" t="s">
        <v>264</v>
      </c>
      <c r="B39" s="94" t="s">
        <v>265</v>
      </c>
      <c r="C39" s="92">
        <f>SUM(C37:C38)</f>
        <v>0</v>
      </c>
    </row>
    <row r="40" spans="1:3" ht="15.75">
      <c r="A40" s="88"/>
      <c r="B40" s="94"/>
      <c r="C40" s="92"/>
    </row>
    <row r="41" spans="1:3" ht="15.75">
      <c r="A41" s="87"/>
      <c r="B41" s="95" t="s">
        <v>266</v>
      </c>
      <c r="C41" s="92">
        <f>+C39+C35+C28+C16</f>
        <v>0</v>
      </c>
    </row>
  </sheetData>
  <sheetProtection/>
  <mergeCells count="1">
    <mergeCell ref="A5:C5"/>
  </mergeCells>
  <printOptions/>
  <pageMargins left="0.511811024" right="0.511811024" top="0.787401575" bottom="0.787401575" header="0.31496062" footer="0.31496062"/>
  <pageSetup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22"/>
  <sheetViews>
    <sheetView zoomScale="130" zoomScaleNormal="130" zoomScalePageLayoutView="0" workbookViewId="0" topLeftCell="A4">
      <selection activeCell="G12" sqref="G12"/>
    </sheetView>
  </sheetViews>
  <sheetFormatPr defaultColWidth="9.140625" defaultRowHeight="12.75"/>
  <cols>
    <col min="2" max="2" width="43.7109375" style="0" customWidth="1"/>
    <col min="3" max="3" width="14.28125" style="0" customWidth="1"/>
    <col min="4" max="4" width="20.00390625" style="0" customWidth="1"/>
  </cols>
  <sheetData>
    <row r="1" spans="2:4" ht="42.75" customHeight="1" thickBot="1">
      <c r="B1" s="264"/>
      <c r="C1" s="264"/>
      <c r="D1" s="264"/>
    </row>
    <row r="2" spans="2:4" ht="16.5" thickBot="1">
      <c r="B2" s="265" t="s">
        <v>336</v>
      </c>
      <c r="C2" s="266"/>
      <c r="D2" s="267"/>
    </row>
    <row r="3" spans="2:4" ht="16.5" thickBot="1">
      <c r="B3" s="268" t="s">
        <v>337</v>
      </c>
      <c r="C3" s="269"/>
      <c r="D3" s="270"/>
    </row>
    <row r="4" spans="2:4" ht="16.5" thickBot="1">
      <c r="B4" s="271" t="s">
        <v>338</v>
      </c>
      <c r="C4" s="272"/>
      <c r="D4" s="142" t="s">
        <v>339</v>
      </c>
    </row>
    <row r="5" spans="2:4" ht="16.5" thickBot="1">
      <c r="B5" s="265"/>
      <c r="C5" s="267"/>
      <c r="D5" s="142" t="s">
        <v>340</v>
      </c>
    </row>
    <row r="6" spans="2:4" ht="16.5" thickBot="1">
      <c r="B6" s="143" t="s">
        <v>27</v>
      </c>
      <c r="C6" s="143" t="s">
        <v>341</v>
      </c>
      <c r="D6" s="142" t="s">
        <v>342</v>
      </c>
    </row>
    <row r="7" spans="2:4" ht="13.5" thickBot="1">
      <c r="B7" s="35"/>
      <c r="C7" s="35"/>
      <c r="D7" s="235"/>
    </row>
    <row r="8" spans="2:4" ht="12.75">
      <c r="B8" s="236" t="s">
        <v>345</v>
      </c>
      <c r="C8" s="239" t="s">
        <v>343</v>
      </c>
      <c r="D8" s="242"/>
    </row>
    <row r="9" spans="2:4" ht="12.75">
      <c r="B9" s="237" t="s">
        <v>111</v>
      </c>
      <c r="C9" s="240" t="s">
        <v>356</v>
      </c>
      <c r="D9" s="243"/>
    </row>
    <row r="10" spans="2:4" ht="12.75">
      <c r="B10" s="237" t="s">
        <v>112</v>
      </c>
      <c r="C10" s="240" t="s">
        <v>346</v>
      </c>
      <c r="D10" s="243"/>
    </row>
    <row r="11" spans="2:4" ht="12.75">
      <c r="B11" s="237" t="s">
        <v>113</v>
      </c>
      <c r="C11" s="240" t="s">
        <v>348</v>
      </c>
      <c r="D11" s="243"/>
    </row>
    <row r="12" spans="2:4" ht="12.75">
      <c r="B12" s="237" t="s">
        <v>355</v>
      </c>
      <c r="C12" s="240" t="s">
        <v>293</v>
      </c>
      <c r="D12" s="243"/>
    </row>
    <row r="13" spans="2:4" ht="21.75">
      <c r="B13" s="237" t="s">
        <v>349</v>
      </c>
      <c r="C13" s="240" t="s">
        <v>350</v>
      </c>
      <c r="D13" s="243"/>
    </row>
    <row r="14" spans="2:4" ht="21.75">
      <c r="B14" s="237" t="s">
        <v>351</v>
      </c>
      <c r="C14" s="240" t="s">
        <v>344</v>
      </c>
      <c r="D14" s="243"/>
    </row>
    <row r="15" spans="2:4" ht="42.75">
      <c r="B15" s="237" t="s">
        <v>352</v>
      </c>
      <c r="C15" s="240" t="s">
        <v>353</v>
      </c>
      <c r="D15" s="243"/>
    </row>
    <row r="16" spans="2:4" ht="22.5" thickBot="1">
      <c r="B16" s="238" t="s">
        <v>354</v>
      </c>
      <c r="C16" s="241" t="s">
        <v>347</v>
      </c>
      <c r="D16" s="244"/>
    </row>
    <row r="18" ht="21.75">
      <c r="B18" s="141" t="s">
        <v>357</v>
      </c>
    </row>
    <row r="20" ht="21.75">
      <c r="B20" s="141" t="s">
        <v>358</v>
      </c>
    </row>
    <row r="22" ht="12.75">
      <c r="B22" s="140"/>
    </row>
  </sheetData>
  <sheetProtection/>
  <mergeCells count="5">
    <mergeCell ref="B1:D1"/>
    <mergeCell ref="B2:D2"/>
    <mergeCell ref="B3:D3"/>
    <mergeCell ref="B4:C4"/>
    <mergeCell ref="B5:C5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M599"/>
  <sheetViews>
    <sheetView showZeros="0" tabSelected="1" view="pageBreakPreview" zoomScale="80" zoomScaleSheetLayoutView="80" zoomScalePageLayoutView="0" workbookViewId="0" topLeftCell="A1">
      <pane xSplit="2" ySplit="10" topLeftCell="C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B538" sqref="B538"/>
    </sheetView>
  </sheetViews>
  <sheetFormatPr defaultColWidth="9.140625" defaultRowHeight="12.75" outlineLevelRow="2"/>
  <cols>
    <col min="1" max="1" width="21.28125" style="73" customWidth="1"/>
    <col min="2" max="2" width="81.7109375" style="38" customWidth="1"/>
    <col min="3" max="3" width="10.57421875" style="70" bestFit="1" customWidth="1"/>
    <col min="4" max="4" width="12.7109375" style="74" customWidth="1"/>
    <col min="5" max="5" width="15.28125" style="198" bestFit="1" customWidth="1"/>
    <col min="6" max="6" width="16.28125" style="72" bestFit="1" customWidth="1"/>
    <col min="7" max="7" width="15.00390625" style="72" bestFit="1" customWidth="1"/>
    <col min="8" max="8" width="20.7109375" style="72" bestFit="1" customWidth="1"/>
    <col min="9" max="9" width="12.28125" style="38" customWidth="1"/>
    <col min="10" max="10" width="17.00390625" style="38" hidden="1" customWidth="1"/>
    <col min="11" max="16384" width="9.140625" style="38" customWidth="1"/>
  </cols>
  <sheetData>
    <row r="1" spans="1:9" s="39" customFormat="1" ht="21">
      <c r="A1" s="273" t="s">
        <v>118</v>
      </c>
      <c r="B1" s="274"/>
      <c r="C1" s="206"/>
      <c r="D1" s="207"/>
      <c r="E1" s="208"/>
      <c r="F1" s="209"/>
      <c r="G1" s="210"/>
      <c r="H1" s="211"/>
      <c r="I1" s="38"/>
    </row>
    <row r="2" spans="1:9" s="39" customFormat="1" ht="15.75">
      <c r="A2" s="212" t="s">
        <v>119</v>
      </c>
      <c r="B2" s="245" t="s">
        <v>284</v>
      </c>
      <c r="C2" s="40"/>
      <c r="D2" s="41"/>
      <c r="E2" s="191"/>
      <c r="F2" s="42"/>
      <c r="G2" s="42"/>
      <c r="H2" s="213"/>
      <c r="I2" s="38"/>
    </row>
    <row r="3" spans="1:9" s="39" customFormat="1" ht="15.75">
      <c r="A3" s="214" t="s">
        <v>120</v>
      </c>
      <c r="B3" s="246" t="s">
        <v>1334</v>
      </c>
      <c r="C3" s="43"/>
      <c r="D3" s="42"/>
      <c r="E3" s="191"/>
      <c r="F3" s="44"/>
      <c r="G3" s="45"/>
      <c r="H3" s="213"/>
      <c r="I3" s="38"/>
    </row>
    <row r="4" spans="1:9" s="39" customFormat="1" ht="15.75">
      <c r="A4" s="214" t="s">
        <v>122</v>
      </c>
      <c r="B4" s="246" t="s">
        <v>1335</v>
      </c>
      <c r="C4" s="43"/>
      <c r="D4" s="44"/>
      <c r="E4" s="192"/>
      <c r="F4" s="41"/>
      <c r="G4" s="105" t="s">
        <v>285</v>
      </c>
      <c r="H4" s="231"/>
      <c r="I4" s="38"/>
    </row>
    <row r="5" spans="1:9" s="39" customFormat="1" ht="15.75">
      <c r="A5" s="214" t="s">
        <v>123</v>
      </c>
      <c r="B5" s="246" t="s">
        <v>711</v>
      </c>
      <c r="C5" s="46"/>
      <c r="D5" s="42"/>
      <c r="E5" s="42"/>
      <c r="F5" s="104" t="s">
        <v>121</v>
      </c>
      <c r="G5" s="205"/>
      <c r="H5" s="215"/>
      <c r="I5" s="38"/>
    </row>
    <row r="6" spans="1:8" ht="15.75">
      <c r="A6" s="214" t="s">
        <v>124</v>
      </c>
      <c r="B6" s="233"/>
      <c r="C6" s="46"/>
      <c r="D6" s="71"/>
      <c r="E6" s="197"/>
      <c r="F6" s="104" t="s">
        <v>382</v>
      </c>
      <c r="G6" s="194"/>
      <c r="H6" s="216"/>
    </row>
    <row r="7" spans="1:8" ht="15.75">
      <c r="A7" s="214" t="s">
        <v>125</v>
      </c>
      <c r="B7" s="233"/>
      <c r="C7" s="43"/>
      <c r="D7" s="71"/>
      <c r="E7" s="197"/>
      <c r="F7" s="104" t="s">
        <v>383</v>
      </c>
      <c r="G7" s="193"/>
      <c r="H7" s="217"/>
    </row>
    <row r="8" spans="1:8" ht="15.75">
      <c r="A8" s="214" t="s">
        <v>126</v>
      </c>
      <c r="B8" s="233"/>
      <c r="C8" s="48"/>
      <c r="D8" s="71"/>
      <c r="E8" s="197"/>
      <c r="F8" s="44"/>
      <c r="G8" s="192"/>
      <c r="H8" s="218"/>
    </row>
    <row r="9" spans="1:8" ht="16.5" thickBot="1">
      <c r="A9" s="219" t="s">
        <v>127</v>
      </c>
      <c r="B9" s="234"/>
      <c r="C9" s="48"/>
      <c r="D9" s="44"/>
      <c r="E9" s="192"/>
      <c r="F9" s="47"/>
      <c r="G9" s="42"/>
      <c r="H9" s="213"/>
    </row>
    <row r="10" spans="1:8" s="49" customFormat="1" ht="32.25" thickBot="1">
      <c r="A10" s="99" t="s">
        <v>0</v>
      </c>
      <c r="B10" s="100" t="s">
        <v>7</v>
      </c>
      <c r="C10" s="101" t="s">
        <v>80</v>
      </c>
      <c r="D10" s="100" t="s">
        <v>5</v>
      </c>
      <c r="E10" s="195" t="s">
        <v>114</v>
      </c>
      <c r="F10" s="102" t="s">
        <v>115</v>
      </c>
      <c r="G10" s="102" t="s">
        <v>116</v>
      </c>
      <c r="H10" s="103" t="s">
        <v>117</v>
      </c>
    </row>
    <row r="11" spans="1:10" s="49" customFormat="1" ht="15.75">
      <c r="A11" s="106"/>
      <c r="B11" s="107"/>
      <c r="C11" s="108"/>
      <c r="D11" s="107"/>
      <c r="E11" s="196"/>
      <c r="F11" s="109"/>
      <c r="G11" s="109"/>
      <c r="H11" s="110"/>
      <c r="J11" s="124">
        <f>+D11*G11</f>
        <v>0</v>
      </c>
    </row>
    <row r="12" spans="1:10" ht="15.75">
      <c r="A12" s="59" t="s">
        <v>473</v>
      </c>
      <c r="B12" s="61" t="s">
        <v>277</v>
      </c>
      <c r="C12" s="167"/>
      <c r="D12" s="61"/>
      <c r="E12" s="61"/>
      <c r="F12" s="61"/>
      <c r="G12" s="61"/>
      <c r="H12" s="79">
        <f>SUBTOTAL(9,H13:H33)</f>
        <v>0</v>
      </c>
      <c r="J12" s="124">
        <f>+D12*G12</f>
        <v>0</v>
      </c>
    </row>
    <row r="13" spans="1:10" s="119" customFormat="1" ht="15.75" outlineLevel="1">
      <c r="A13" s="50" t="s">
        <v>474</v>
      </c>
      <c r="B13" s="151" t="s">
        <v>131</v>
      </c>
      <c r="C13" s="168"/>
      <c r="D13" s="118"/>
      <c r="E13" s="118"/>
      <c r="F13" s="118"/>
      <c r="G13" s="118"/>
      <c r="H13" s="220">
        <f>SUBTOTAL(9,H14:H17)</f>
        <v>0</v>
      </c>
      <c r="J13" s="124">
        <f>+D13*G13</f>
        <v>0</v>
      </c>
    </row>
    <row r="14" spans="1:10" ht="31.5" outlineLevel="2">
      <c r="A14" s="52" t="s">
        <v>475</v>
      </c>
      <c r="B14" s="53" t="s">
        <v>133</v>
      </c>
      <c r="C14" s="169" t="s">
        <v>129</v>
      </c>
      <c r="D14" s="111">
        <v>6</v>
      </c>
      <c r="E14" s="111"/>
      <c r="F14" s="111">
        <f aca="true" t="shared" si="0" ref="F14:F32">+E14*$H$7</f>
        <v>0</v>
      </c>
      <c r="G14" s="111">
        <f>+E14+F14</f>
        <v>0</v>
      </c>
      <c r="H14" s="221">
        <f>D14*G14</f>
        <v>0</v>
      </c>
      <c r="I14" s="54"/>
      <c r="J14" s="124">
        <f>+D14*G14</f>
        <v>0</v>
      </c>
    </row>
    <row r="15" spans="1:10" ht="31.5" outlineLevel="2">
      <c r="A15" s="52" t="s">
        <v>476</v>
      </c>
      <c r="B15" s="53" t="s">
        <v>135</v>
      </c>
      <c r="C15" s="169" t="s">
        <v>129</v>
      </c>
      <c r="D15" s="111">
        <v>6</v>
      </c>
      <c r="E15" s="111"/>
      <c r="F15" s="111">
        <f t="shared" si="0"/>
        <v>0</v>
      </c>
      <c r="G15" s="111">
        <f>+E15+F15</f>
        <v>0</v>
      </c>
      <c r="H15" s="221">
        <f>D15*G15</f>
        <v>0</v>
      </c>
      <c r="I15" s="54"/>
      <c r="J15" s="124">
        <f aca="true" t="shared" si="1" ref="J15:J82">+D15*G15</f>
        <v>0</v>
      </c>
    </row>
    <row r="16" spans="1:10" ht="15.75" outlineLevel="2">
      <c r="A16" s="52" t="s">
        <v>477</v>
      </c>
      <c r="B16" s="53" t="s">
        <v>137</v>
      </c>
      <c r="C16" s="169" t="s">
        <v>129</v>
      </c>
      <c r="D16" s="111">
        <v>6</v>
      </c>
      <c r="E16" s="111"/>
      <c r="F16" s="111">
        <f t="shared" si="0"/>
        <v>0</v>
      </c>
      <c r="G16" s="111">
        <f>+E16+F16</f>
        <v>0</v>
      </c>
      <c r="H16" s="221">
        <f>D16*G16</f>
        <v>0</v>
      </c>
      <c r="I16" s="54"/>
      <c r="J16" s="124">
        <f t="shared" si="1"/>
        <v>0</v>
      </c>
    </row>
    <row r="17" spans="1:10" ht="15.75" outlineLevel="2">
      <c r="A17" s="52"/>
      <c r="B17" s="55"/>
      <c r="C17" s="170"/>
      <c r="D17" s="111"/>
      <c r="E17" s="111"/>
      <c r="F17" s="111">
        <f t="shared" si="0"/>
        <v>0</v>
      </c>
      <c r="G17" s="111">
        <f aca="true" t="shared" si="2" ref="G17:G27">+E17+F17</f>
        <v>0</v>
      </c>
      <c r="H17" s="221">
        <f aca="true" t="shared" si="3" ref="H17:H27">D17*G17</f>
        <v>0</v>
      </c>
      <c r="I17" s="54"/>
      <c r="J17" s="124">
        <f t="shared" si="1"/>
        <v>0</v>
      </c>
    </row>
    <row r="18" spans="1:10" s="119" customFormat="1" ht="15.75" outlineLevel="1">
      <c r="A18" s="50" t="s">
        <v>478</v>
      </c>
      <c r="B18" s="151" t="s">
        <v>138</v>
      </c>
      <c r="C18" s="168"/>
      <c r="D18" s="118"/>
      <c r="E18" s="118"/>
      <c r="F18" s="118">
        <f t="shared" si="0"/>
        <v>0</v>
      </c>
      <c r="G18" s="118">
        <f t="shared" si="2"/>
        <v>0</v>
      </c>
      <c r="H18" s="220">
        <f>SUBTOTAL(9,H19:H21)</f>
        <v>0</v>
      </c>
      <c r="I18" s="120"/>
      <c r="J18" s="124">
        <f t="shared" si="1"/>
        <v>0</v>
      </c>
    </row>
    <row r="19" spans="1:10" ht="15.75" outlineLevel="2">
      <c r="A19" s="56" t="s">
        <v>479</v>
      </c>
      <c r="B19" s="53" t="s">
        <v>140</v>
      </c>
      <c r="C19" s="169" t="s">
        <v>3</v>
      </c>
      <c r="D19" s="111">
        <f>477*2</f>
        <v>954</v>
      </c>
      <c r="E19" s="111"/>
      <c r="F19" s="111">
        <f t="shared" si="0"/>
        <v>0</v>
      </c>
      <c r="G19" s="111">
        <f t="shared" si="2"/>
        <v>0</v>
      </c>
      <c r="H19" s="221">
        <f t="shared" si="3"/>
        <v>0</v>
      </c>
      <c r="I19" s="54"/>
      <c r="J19" s="124">
        <f t="shared" si="1"/>
        <v>0</v>
      </c>
    </row>
    <row r="20" spans="1:10" ht="31.5" outlineLevel="2">
      <c r="A20" s="56" t="s">
        <v>480</v>
      </c>
      <c r="B20" s="53" t="s">
        <v>142</v>
      </c>
      <c r="C20" s="169" t="s">
        <v>128</v>
      </c>
      <c r="D20" s="111">
        <f>+((152+152+42+42+1.5)*1.5)*6</f>
        <v>3505.5</v>
      </c>
      <c r="E20" s="111"/>
      <c r="F20" s="111">
        <f t="shared" si="0"/>
        <v>0</v>
      </c>
      <c r="G20" s="111">
        <f t="shared" si="2"/>
        <v>0</v>
      </c>
      <c r="H20" s="221">
        <f t="shared" si="3"/>
        <v>0</v>
      </c>
      <c r="I20" s="54"/>
      <c r="J20" s="124">
        <f t="shared" si="1"/>
        <v>0</v>
      </c>
    </row>
    <row r="21" spans="1:10" ht="15.75" outlineLevel="2">
      <c r="A21" s="56"/>
      <c r="B21" s="55"/>
      <c r="C21" s="170"/>
      <c r="D21" s="111"/>
      <c r="E21" s="111"/>
      <c r="F21" s="111">
        <f t="shared" si="0"/>
        <v>0</v>
      </c>
      <c r="G21" s="111">
        <f t="shared" si="2"/>
        <v>0</v>
      </c>
      <c r="H21" s="221">
        <f t="shared" si="3"/>
        <v>0</v>
      </c>
      <c r="I21" s="54"/>
      <c r="J21" s="124">
        <f t="shared" si="1"/>
        <v>0</v>
      </c>
    </row>
    <row r="22" spans="1:10" s="119" customFormat="1" ht="15.75" outlineLevel="1">
      <c r="A22" s="50" t="s">
        <v>481</v>
      </c>
      <c r="B22" s="151" t="s">
        <v>143</v>
      </c>
      <c r="C22" s="168"/>
      <c r="D22" s="118"/>
      <c r="E22" s="118"/>
      <c r="F22" s="118">
        <f t="shared" si="0"/>
        <v>0</v>
      </c>
      <c r="G22" s="118">
        <f t="shared" si="2"/>
        <v>0</v>
      </c>
      <c r="H22" s="220">
        <f>SUBTOTAL(9,H23:H27)</f>
        <v>0</v>
      </c>
      <c r="I22" s="120"/>
      <c r="J22" s="124">
        <f t="shared" si="1"/>
        <v>0</v>
      </c>
    </row>
    <row r="23" spans="1:10" ht="15.75" outlineLevel="2">
      <c r="A23" s="56" t="s">
        <v>482</v>
      </c>
      <c r="B23" s="53" t="s">
        <v>77</v>
      </c>
      <c r="C23" s="169" t="s">
        <v>130</v>
      </c>
      <c r="D23" s="111">
        <f>20*6</f>
        <v>120</v>
      </c>
      <c r="E23" s="111"/>
      <c r="F23" s="111">
        <f t="shared" si="0"/>
        <v>0</v>
      </c>
      <c r="G23" s="111">
        <f t="shared" si="2"/>
        <v>0</v>
      </c>
      <c r="H23" s="221">
        <f t="shared" si="3"/>
        <v>0</v>
      </c>
      <c r="I23" s="54"/>
      <c r="J23" s="124">
        <f t="shared" si="1"/>
        <v>0</v>
      </c>
    </row>
    <row r="24" spans="1:10" ht="15.75" outlineLevel="2">
      <c r="A24" s="56" t="s">
        <v>483</v>
      </c>
      <c r="B24" s="53" t="s">
        <v>145</v>
      </c>
      <c r="C24" s="169" t="s">
        <v>88</v>
      </c>
      <c r="D24" s="111">
        <f>20*6</f>
        <v>120</v>
      </c>
      <c r="E24" s="111"/>
      <c r="F24" s="111">
        <f t="shared" si="0"/>
        <v>0</v>
      </c>
      <c r="G24" s="111">
        <f>+E24+F24</f>
        <v>0</v>
      </c>
      <c r="H24" s="221">
        <f>D24*G24</f>
        <v>0</v>
      </c>
      <c r="I24" s="54"/>
      <c r="J24" s="124">
        <f t="shared" si="1"/>
        <v>0</v>
      </c>
    </row>
    <row r="25" spans="1:10" s="39" customFormat="1" ht="15.75" outlineLevel="2">
      <c r="A25" s="56" t="s">
        <v>484</v>
      </c>
      <c r="B25" s="186" t="s">
        <v>278</v>
      </c>
      <c r="C25" s="187" t="s">
        <v>130</v>
      </c>
      <c r="D25" s="188">
        <v>6</v>
      </c>
      <c r="E25" s="147"/>
      <c r="F25" s="188">
        <f t="shared" si="0"/>
        <v>0</v>
      </c>
      <c r="G25" s="188">
        <f>+E25+F25</f>
        <v>0</v>
      </c>
      <c r="H25" s="222">
        <f>D25*G25</f>
        <v>0</v>
      </c>
      <c r="I25" s="189"/>
      <c r="J25" s="190">
        <f t="shared" si="1"/>
        <v>0</v>
      </c>
    </row>
    <row r="26" spans="1:10" s="39" customFormat="1" ht="15.75" outlineLevel="2">
      <c r="A26" s="56" t="s">
        <v>1057</v>
      </c>
      <c r="B26" s="186" t="s">
        <v>1056</v>
      </c>
      <c r="C26" s="187" t="s">
        <v>1043</v>
      </c>
      <c r="D26" s="188">
        <v>1</v>
      </c>
      <c r="E26" s="147"/>
      <c r="F26" s="188">
        <f t="shared" si="0"/>
        <v>0</v>
      </c>
      <c r="G26" s="188">
        <f>+E26+F26</f>
        <v>0</v>
      </c>
      <c r="H26" s="222">
        <f>D26*G26</f>
        <v>0</v>
      </c>
      <c r="I26" s="189"/>
      <c r="J26" s="190">
        <f t="shared" si="1"/>
        <v>0</v>
      </c>
    </row>
    <row r="27" spans="1:10" ht="15.75" outlineLevel="2">
      <c r="A27" s="56"/>
      <c r="B27" s="55"/>
      <c r="C27" s="170"/>
      <c r="D27" s="111"/>
      <c r="E27" s="111"/>
      <c r="F27" s="111">
        <f t="shared" si="0"/>
        <v>0</v>
      </c>
      <c r="G27" s="111">
        <f t="shared" si="2"/>
        <v>0</v>
      </c>
      <c r="H27" s="221">
        <f t="shared" si="3"/>
        <v>0</v>
      </c>
      <c r="I27" s="54"/>
      <c r="J27" s="124">
        <f t="shared" si="1"/>
        <v>0</v>
      </c>
    </row>
    <row r="28" spans="1:10" s="119" customFormat="1" ht="15.75" outlineLevel="1">
      <c r="A28" s="50" t="s">
        <v>485</v>
      </c>
      <c r="B28" s="151" t="s">
        <v>146</v>
      </c>
      <c r="C28" s="168"/>
      <c r="D28" s="118"/>
      <c r="E28" s="118"/>
      <c r="F28" s="118">
        <f t="shared" si="0"/>
        <v>0</v>
      </c>
      <c r="G28" s="118">
        <f>+E28+F28</f>
        <v>0</v>
      </c>
      <c r="H28" s="220">
        <f>SUBTOTAL(9,H29:H30)</f>
        <v>0</v>
      </c>
      <c r="I28" s="120"/>
      <c r="J28" s="124">
        <f t="shared" si="1"/>
        <v>0</v>
      </c>
    </row>
    <row r="29" spans="1:10" ht="31.5" outlineLevel="2">
      <c r="A29" s="56" t="s">
        <v>486</v>
      </c>
      <c r="B29" s="55" t="s">
        <v>101</v>
      </c>
      <c r="C29" s="170" t="s">
        <v>38</v>
      </c>
      <c r="D29" s="111">
        <f>220*3</f>
        <v>660</v>
      </c>
      <c r="E29" s="111"/>
      <c r="F29" s="111">
        <f t="shared" si="0"/>
        <v>0</v>
      </c>
      <c r="G29" s="111">
        <f>+E29+F29</f>
        <v>0</v>
      </c>
      <c r="H29" s="221">
        <f>D29*G29</f>
        <v>0</v>
      </c>
      <c r="I29" s="54"/>
      <c r="J29" s="124">
        <f t="shared" si="1"/>
        <v>0</v>
      </c>
    </row>
    <row r="30" spans="1:10" ht="15.75" outlineLevel="2">
      <c r="A30" s="56"/>
      <c r="B30" s="55"/>
      <c r="C30" s="170"/>
      <c r="D30" s="111"/>
      <c r="E30" s="111"/>
      <c r="F30" s="111">
        <f t="shared" si="0"/>
        <v>0</v>
      </c>
      <c r="G30" s="111">
        <f>+E30+F30</f>
        <v>0</v>
      </c>
      <c r="H30" s="221">
        <f>D30*G30</f>
        <v>0</v>
      </c>
      <c r="I30" s="54"/>
      <c r="J30" s="124">
        <f t="shared" si="1"/>
        <v>0</v>
      </c>
    </row>
    <row r="31" spans="1:10" s="119" customFormat="1" ht="15.75" outlineLevel="1">
      <c r="A31" s="50" t="s">
        <v>487</v>
      </c>
      <c r="B31" s="151" t="s">
        <v>148</v>
      </c>
      <c r="C31" s="168"/>
      <c r="D31" s="118"/>
      <c r="E31" s="118"/>
      <c r="F31" s="118">
        <f t="shared" si="0"/>
        <v>0</v>
      </c>
      <c r="G31" s="118">
        <f>+E31+F31</f>
        <v>0</v>
      </c>
      <c r="H31" s="220">
        <f>SUBTOTAL(9,H32:H32)</f>
        <v>0</v>
      </c>
      <c r="I31" s="120"/>
      <c r="J31" s="124">
        <f t="shared" si="1"/>
        <v>0</v>
      </c>
    </row>
    <row r="32" spans="1:10" ht="15.75" outlineLevel="2">
      <c r="A32" s="57" t="s">
        <v>488</v>
      </c>
      <c r="B32" s="53" t="s">
        <v>41</v>
      </c>
      <c r="C32" s="169" t="s">
        <v>3</v>
      </c>
      <c r="D32" s="111">
        <v>10</v>
      </c>
      <c r="E32" s="111"/>
      <c r="F32" s="111">
        <f t="shared" si="0"/>
        <v>0</v>
      </c>
      <c r="G32" s="111">
        <f>+E32+F32</f>
        <v>0</v>
      </c>
      <c r="H32" s="221">
        <f>D32*G32</f>
        <v>0</v>
      </c>
      <c r="I32" s="54"/>
      <c r="J32" s="124">
        <f t="shared" si="1"/>
        <v>0</v>
      </c>
    </row>
    <row r="33" spans="1:10" ht="15.75" outlineLevel="1">
      <c r="A33" s="52"/>
      <c r="B33" s="55"/>
      <c r="C33" s="170"/>
      <c r="D33" s="111"/>
      <c r="E33" s="111"/>
      <c r="F33" s="111"/>
      <c r="G33" s="111"/>
      <c r="H33" s="221"/>
      <c r="I33" s="54"/>
      <c r="J33" s="124">
        <f t="shared" si="1"/>
        <v>0</v>
      </c>
    </row>
    <row r="34" spans="1:10" ht="15.75">
      <c r="A34" s="59" t="s">
        <v>489</v>
      </c>
      <c r="B34" s="60" t="s">
        <v>1159</v>
      </c>
      <c r="C34" s="171"/>
      <c r="D34" s="112"/>
      <c r="E34" s="112"/>
      <c r="F34" s="112"/>
      <c r="G34" s="112"/>
      <c r="H34" s="223">
        <f>SUBTOTAL(9,H35:H37)</f>
        <v>0</v>
      </c>
      <c r="J34" s="124">
        <f t="shared" si="1"/>
        <v>0</v>
      </c>
    </row>
    <row r="35" spans="1:10" s="119" customFormat="1" ht="15.75" outlineLevel="1">
      <c r="A35" s="50" t="s">
        <v>490</v>
      </c>
      <c r="B35" s="117" t="s">
        <v>913</v>
      </c>
      <c r="C35" s="172">
        <v>0</v>
      </c>
      <c r="D35" s="118">
        <v>0</v>
      </c>
      <c r="E35" s="118"/>
      <c r="F35" s="118"/>
      <c r="G35" s="118"/>
      <c r="H35" s="220">
        <f>SUBTOTAL(9,H36:H37)</f>
        <v>0</v>
      </c>
      <c r="J35" s="124">
        <f t="shared" si="1"/>
        <v>0</v>
      </c>
    </row>
    <row r="36" spans="1:10" ht="15.75" outlineLevel="2">
      <c r="A36" s="62" t="s">
        <v>491</v>
      </c>
      <c r="B36" s="200" t="s">
        <v>1331</v>
      </c>
      <c r="C36" s="169" t="s">
        <v>3</v>
      </c>
      <c r="D36" s="147">
        <f>6384*1.1</f>
        <v>7022.400000000001</v>
      </c>
      <c r="E36" s="111"/>
      <c r="F36" s="111">
        <f>+E36*$H$7</f>
        <v>0</v>
      </c>
      <c r="G36" s="111">
        <f>+E36+F36</f>
        <v>0</v>
      </c>
      <c r="H36" s="221">
        <f>D36*G36</f>
        <v>0</v>
      </c>
      <c r="I36" s="54"/>
      <c r="J36" s="124">
        <f t="shared" si="1"/>
        <v>0</v>
      </c>
    </row>
    <row r="37" spans="1:10" ht="15.75" outlineLevel="2">
      <c r="A37" s="62" t="s">
        <v>492</v>
      </c>
      <c r="B37" s="53" t="s">
        <v>621</v>
      </c>
      <c r="C37" s="169" t="s">
        <v>3</v>
      </c>
      <c r="D37" s="147">
        <f>6384*1.1</f>
        <v>7022.400000000001</v>
      </c>
      <c r="E37" s="111"/>
      <c r="F37" s="111">
        <f>+E37*$H$7</f>
        <v>0</v>
      </c>
      <c r="G37" s="111">
        <f>+E37+F37</f>
        <v>0</v>
      </c>
      <c r="H37" s="221">
        <f>D37*G37</f>
        <v>0</v>
      </c>
      <c r="I37" s="54"/>
      <c r="J37" s="124">
        <f t="shared" si="1"/>
        <v>0</v>
      </c>
    </row>
    <row r="38" spans="1:10" ht="15.75" outlineLevel="1">
      <c r="A38" s="52"/>
      <c r="B38" s="55"/>
      <c r="C38" s="170"/>
      <c r="D38" s="111"/>
      <c r="E38" s="111"/>
      <c r="F38" s="111"/>
      <c r="G38" s="111"/>
      <c r="H38" s="221"/>
      <c r="I38" s="54"/>
      <c r="J38" s="124">
        <f t="shared" si="1"/>
        <v>0</v>
      </c>
    </row>
    <row r="39" spans="1:10" ht="15.75">
      <c r="A39" s="59" t="s">
        <v>493</v>
      </c>
      <c r="B39" s="60" t="s">
        <v>268</v>
      </c>
      <c r="C39" s="171">
        <v>0</v>
      </c>
      <c r="D39" s="112"/>
      <c r="E39" s="112"/>
      <c r="F39" s="112">
        <f>+E39*$H$7</f>
        <v>0</v>
      </c>
      <c r="G39" s="112">
        <f>+E39+F39</f>
        <v>0</v>
      </c>
      <c r="H39" s="223">
        <f>SUBTOTAL(9,H40:H92)</f>
        <v>0</v>
      </c>
      <c r="J39" s="124">
        <f t="shared" si="1"/>
        <v>0</v>
      </c>
    </row>
    <row r="40" spans="1:10" s="119" customFormat="1" ht="15.75" outlineLevel="1">
      <c r="A40" s="50" t="s">
        <v>494</v>
      </c>
      <c r="B40" s="151" t="s">
        <v>289</v>
      </c>
      <c r="C40" s="168"/>
      <c r="D40" s="118"/>
      <c r="E40" s="118"/>
      <c r="F40" s="118">
        <f>+E40*$H$7</f>
        <v>0</v>
      </c>
      <c r="G40" s="118">
        <f>+E40+F40</f>
        <v>0</v>
      </c>
      <c r="H40" s="220">
        <f>SUBTOTAL(9,H41:H44)</f>
        <v>0</v>
      </c>
      <c r="I40" s="120"/>
      <c r="J40" s="124">
        <f t="shared" si="1"/>
        <v>0</v>
      </c>
    </row>
    <row r="41" spans="1:10" ht="15.75" outlineLevel="2">
      <c r="A41" s="56" t="s">
        <v>495</v>
      </c>
      <c r="B41" s="53" t="s">
        <v>160</v>
      </c>
      <c r="C41" s="169" t="s">
        <v>3</v>
      </c>
      <c r="D41" s="147">
        <v>6384</v>
      </c>
      <c r="E41" s="111"/>
      <c r="F41" s="111">
        <f>+E41*$H$7</f>
        <v>0</v>
      </c>
      <c r="G41" s="111">
        <f>+E41+F41</f>
        <v>0</v>
      </c>
      <c r="H41" s="221">
        <f>D41*G41</f>
        <v>0</v>
      </c>
      <c r="I41" s="54"/>
      <c r="J41" s="124">
        <f t="shared" si="1"/>
        <v>0</v>
      </c>
    </row>
    <row r="42" spans="1:10" ht="15.75" outlineLevel="2">
      <c r="A42" s="56" t="s">
        <v>496</v>
      </c>
      <c r="B42" s="53" t="s">
        <v>162</v>
      </c>
      <c r="C42" s="169" t="s">
        <v>3</v>
      </c>
      <c r="D42" s="147">
        <v>6384</v>
      </c>
      <c r="E42" s="111"/>
      <c r="F42" s="111">
        <f>+E42*$H$7</f>
        <v>0</v>
      </c>
      <c r="G42" s="111">
        <f>+E42+F42</f>
        <v>0</v>
      </c>
      <c r="H42" s="221">
        <f>D42*G42</f>
        <v>0</v>
      </c>
      <c r="I42" s="54"/>
      <c r="J42" s="124">
        <f t="shared" si="1"/>
        <v>0</v>
      </c>
    </row>
    <row r="43" spans="1:10" ht="15.75" outlineLevel="2">
      <c r="A43" s="56" t="s">
        <v>497</v>
      </c>
      <c r="B43" s="53" t="s">
        <v>164</v>
      </c>
      <c r="C43" s="169" t="s">
        <v>88</v>
      </c>
      <c r="D43" s="147">
        <v>1732</v>
      </c>
      <c r="E43" s="111"/>
      <c r="F43" s="111">
        <f>+E43*$H$7</f>
        <v>0</v>
      </c>
      <c r="G43" s="111">
        <f>+E43+F43</f>
        <v>0</v>
      </c>
      <c r="H43" s="221">
        <f>D43*G43</f>
        <v>0</v>
      </c>
      <c r="I43" s="54"/>
      <c r="J43" s="124">
        <f t="shared" si="1"/>
        <v>0</v>
      </c>
    </row>
    <row r="44" spans="1:10" ht="15.75" outlineLevel="2">
      <c r="A44" s="56"/>
      <c r="B44" s="55"/>
      <c r="C44" s="170"/>
      <c r="D44" s="111"/>
      <c r="E44" s="111"/>
      <c r="F44" s="111"/>
      <c r="G44" s="111"/>
      <c r="H44" s="221"/>
      <c r="I44" s="54"/>
      <c r="J44" s="124">
        <f t="shared" si="1"/>
        <v>0</v>
      </c>
    </row>
    <row r="45" spans="1:11" s="119" customFormat="1" ht="15.75" outlineLevel="1">
      <c r="A45" s="50" t="s">
        <v>498</v>
      </c>
      <c r="B45" s="151" t="s">
        <v>149</v>
      </c>
      <c r="C45" s="168"/>
      <c r="D45" s="118"/>
      <c r="E45" s="118"/>
      <c r="F45" s="118">
        <f aca="true" t="shared" si="4" ref="F45:F80">+E45*$H$7</f>
        <v>0</v>
      </c>
      <c r="G45" s="118">
        <f aca="true" t="shared" si="5" ref="G45:G54">+E45+F45</f>
        <v>0</v>
      </c>
      <c r="H45" s="220">
        <f>SUBTOTAL(9,H46:H52)</f>
        <v>0</v>
      </c>
      <c r="I45" s="120"/>
      <c r="J45" s="124">
        <f t="shared" si="1"/>
        <v>0</v>
      </c>
      <c r="K45" s="38"/>
    </row>
    <row r="46" spans="1:11" ht="15.75" outlineLevel="2">
      <c r="A46" s="57" t="s">
        <v>499</v>
      </c>
      <c r="B46" s="53" t="s">
        <v>151</v>
      </c>
      <c r="C46" s="169" t="s">
        <v>334</v>
      </c>
      <c r="D46" s="252">
        <v>471.07</v>
      </c>
      <c r="E46" s="111"/>
      <c r="F46" s="111">
        <f t="shared" si="4"/>
        <v>0</v>
      </c>
      <c r="G46" s="111">
        <f t="shared" si="5"/>
        <v>0</v>
      </c>
      <c r="H46" s="221">
        <f aca="true" t="shared" si="6" ref="H46:H52">D46*G46</f>
        <v>0</v>
      </c>
      <c r="I46" s="54"/>
      <c r="J46" s="124">
        <f t="shared" si="1"/>
        <v>0</v>
      </c>
      <c r="K46" s="38">
        <v>408.24</v>
      </c>
    </row>
    <row r="47" spans="1:11" ht="15.75" outlineLevel="2">
      <c r="A47" s="57" t="s">
        <v>500</v>
      </c>
      <c r="B47" s="53" t="s">
        <v>153</v>
      </c>
      <c r="C47" s="169" t="s">
        <v>334</v>
      </c>
      <c r="D47" s="252">
        <v>541.72</v>
      </c>
      <c r="E47" s="111"/>
      <c r="F47" s="111">
        <f t="shared" si="4"/>
        <v>0</v>
      </c>
      <c r="G47" s="111">
        <f t="shared" si="5"/>
        <v>0</v>
      </c>
      <c r="H47" s="221">
        <f t="shared" si="6"/>
        <v>0</v>
      </c>
      <c r="I47" s="54"/>
      <c r="J47" s="124">
        <f t="shared" si="1"/>
        <v>0</v>
      </c>
      <c r="K47" s="38">
        <f>438.62+10.08</f>
        <v>448.7</v>
      </c>
    </row>
    <row r="48" spans="1:10" ht="15.75" outlineLevel="2">
      <c r="A48" s="57" t="s">
        <v>1388</v>
      </c>
      <c r="B48" s="247" t="s">
        <v>1392</v>
      </c>
      <c r="C48" s="169" t="s">
        <v>88</v>
      </c>
      <c r="D48" s="252">
        <v>11</v>
      </c>
      <c r="E48" s="111"/>
      <c r="F48" s="111">
        <f t="shared" si="4"/>
        <v>0</v>
      </c>
      <c r="G48" s="111">
        <f t="shared" si="5"/>
        <v>0</v>
      </c>
      <c r="H48" s="221">
        <f t="shared" si="6"/>
        <v>0</v>
      </c>
      <c r="I48" s="54"/>
      <c r="J48" s="124">
        <f t="shared" si="1"/>
        <v>0</v>
      </c>
    </row>
    <row r="49" spans="1:10" ht="15.75" outlineLevel="2">
      <c r="A49" s="57" t="s">
        <v>1389</v>
      </c>
      <c r="B49" s="247" t="s">
        <v>1393</v>
      </c>
      <c r="C49" s="169" t="s">
        <v>88</v>
      </c>
      <c r="D49" s="252">
        <v>22</v>
      </c>
      <c r="E49" s="111"/>
      <c r="F49" s="111">
        <f>+E49*$H$7</f>
        <v>0</v>
      </c>
      <c r="G49" s="111">
        <f>+E49+F49</f>
        <v>0</v>
      </c>
      <c r="H49" s="221">
        <f t="shared" si="6"/>
        <v>0</v>
      </c>
      <c r="I49" s="54"/>
      <c r="J49" s="124"/>
    </row>
    <row r="50" spans="1:10" ht="15.75" outlineLevel="2">
      <c r="A50" s="57" t="s">
        <v>1390</v>
      </c>
      <c r="B50" s="247" t="s">
        <v>1394</v>
      </c>
      <c r="C50" s="169" t="s">
        <v>88</v>
      </c>
      <c r="D50" s="252">
        <v>29.14</v>
      </c>
      <c r="E50" s="111"/>
      <c r="F50" s="111">
        <f>+E50*$H$7</f>
        <v>0</v>
      </c>
      <c r="G50" s="111">
        <f>+E50+F50</f>
        <v>0</v>
      </c>
      <c r="H50" s="221">
        <f t="shared" si="6"/>
        <v>0</v>
      </c>
      <c r="I50" s="54"/>
      <c r="J50" s="124"/>
    </row>
    <row r="51" spans="1:10" ht="15.75" outlineLevel="2">
      <c r="A51" s="57" t="s">
        <v>1391</v>
      </c>
      <c r="B51" s="247" t="s">
        <v>1395</v>
      </c>
      <c r="C51" s="169" t="s">
        <v>88</v>
      </c>
      <c r="D51" s="252">
        <v>13.56</v>
      </c>
      <c r="E51" s="111"/>
      <c r="F51" s="111">
        <f>+E51*$H$7</f>
        <v>0</v>
      </c>
      <c r="G51" s="111">
        <f>+E51+F51</f>
        <v>0</v>
      </c>
      <c r="H51" s="221">
        <f t="shared" si="6"/>
        <v>0</v>
      </c>
      <c r="I51" s="54"/>
      <c r="J51" s="124"/>
    </row>
    <row r="52" spans="1:10" ht="15.75" outlineLevel="2">
      <c r="A52" s="57"/>
      <c r="B52" s="55"/>
      <c r="C52" s="170"/>
      <c r="D52" s="111"/>
      <c r="E52" s="111"/>
      <c r="F52" s="111">
        <f t="shared" si="4"/>
        <v>0</v>
      </c>
      <c r="G52" s="111">
        <f t="shared" si="5"/>
        <v>0</v>
      </c>
      <c r="H52" s="221">
        <f t="shared" si="6"/>
        <v>0</v>
      </c>
      <c r="I52" s="54"/>
      <c r="J52" s="124">
        <f t="shared" si="1"/>
        <v>0</v>
      </c>
    </row>
    <row r="53" spans="1:10" s="119" customFormat="1" ht="15.75" outlineLevel="1">
      <c r="A53" s="50" t="s">
        <v>501</v>
      </c>
      <c r="B53" s="151" t="s">
        <v>155</v>
      </c>
      <c r="C53" s="168"/>
      <c r="D53" s="118"/>
      <c r="E53" s="118"/>
      <c r="F53" s="118">
        <f t="shared" si="4"/>
        <v>0</v>
      </c>
      <c r="G53" s="118">
        <f t="shared" si="5"/>
        <v>0</v>
      </c>
      <c r="H53" s="220">
        <f>SUBTOTAL(9,H54:H56)</f>
        <v>0</v>
      </c>
      <c r="I53" s="120"/>
      <c r="J53" s="124">
        <f t="shared" si="1"/>
        <v>0</v>
      </c>
    </row>
    <row r="54" spans="1:10" ht="31.5" outlineLevel="2">
      <c r="A54" s="57" t="s">
        <v>502</v>
      </c>
      <c r="B54" s="53" t="s">
        <v>157</v>
      </c>
      <c r="C54" s="169" t="s">
        <v>334</v>
      </c>
      <c r="D54" s="147">
        <v>111.57</v>
      </c>
      <c r="E54" s="111"/>
      <c r="F54" s="111">
        <f t="shared" si="4"/>
        <v>0</v>
      </c>
      <c r="G54" s="111">
        <f t="shared" si="5"/>
        <v>0</v>
      </c>
      <c r="H54" s="221">
        <f>D54*G54</f>
        <v>0</v>
      </c>
      <c r="I54" s="54"/>
      <c r="J54" s="124">
        <f t="shared" si="1"/>
        <v>0</v>
      </c>
    </row>
    <row r="55" spans="1:10" ht="15.75" outlineLevel="2">
      <c r="A55" s="57" t="s">
        <v>502</v>
      </c>
      <c r="B55" s="53" t="s">
        <v>645</v>
      </c>
      <c r="C55" s="169" t="s">
        <v>3</v>
      </c>
      <c r="D55" s="147">
        <v>569.64</v>
      </c>
      <c r="E55" s="111"/>
      <c r="F55" s="111">
        <f t="shared" si="4"/>
        <v>0</v>
      </c>
      <c r="G55" s="111">
        <f>+E55+F55</f>
        <v>0</v>
      </c>
      <c r="H55" s="221">
        <f>D55*G55</f>
        <v>0</v>
      </c>
      <c r="I55" s="54"/>
      <c r="J55" s="124">
        <f t="shared" si="1"/>
        <v>0</v>
      </c>
    </row>
    <row r="56" spans="1:10" ht="15.75" outlineLevel="2">
      <c r="A56" s="56"/>
      <c r="B56" s="55"/>
      <c r="C56" s="170"/>
      <c r="D56" s="111"/>
      <c r="E56" s="111"/>
      <c r="F56" s="111">
        <f t="shared" si="4"/>
        <v>0</v>
      </c>
      <c r="G56" s="111">
        <f aca="true" t="shared" si="7" ref="G56:G84">+E56+F56</f>
        <v>0</v>
      </c>
      <c r="H56" s="221">
        <f>D56*G56</f>
        <v>0</v>
      </c>
      <c r="I56" s="54"/>
      <c r="J56" s="124">
        <f t="shared" si="1"/>
        <v>0</v>
      </c>
    </row>
    <row r="57" spans="1:10" s="119" customFormat="1" ht="15.75" outlineLevel="1">
      <c r="A57" s="50" t="s">
        <v>503</v>
      </c>
      <c r="B57" s="151" t="s">
        <v>291</v>
      </c>
      <c r="C57" s="168"/>
      <c r="D57" s="118"/>
      <c r="E57" s="118"/>
      <c r="F57" s="118">
        <f t="shared" si="4"/>
        <v>0</v>
      </c>
      <c r="G57" s="118">
        <f aca="true" t="shared" si="8" ref="G57:G64">+E57+F57</f>
        <v>0</v>
      </c>
      <c r="H57" s="220">
        <f>SUBTOTAL(9,H58:H60)</f>
        <v>0</v>
      </c>
      <c r="I57" s="120"/>
      <c r="J57" s="124">
        <f t="shared" si="1"/>
        <v>0</v>
      </c>
    </row>
    <row r="58" spans="1:10" ht="15.75" outlineLevel="2">
      <c r="A58" s="56" t="s">
        <v>504</v>
      </c>
      <c r="B58" s="53" t="s">
        <v>619</v>
      </c>
      <c r="C58" s="169" t="s">
        <v>80</v>
      </c>
      <c r="D58" s="147">
        <f>16+48</f>
        <v>64</v>
      </c>
      <c r="E58" s="111"/>
      <c r="F58" s="111">
        <f t="shared" si="4"/>
        <v>0</v>
      </c>
      <c r="G58" s="111">
        <f t="shared" si="8"/>
        <v>0</v>
      </c>
      <c r="H58" s="221">
        <f>D58*G58</f>
        <v>0</v>
      </c>
      <c r="I58" s="54"/>
      <c r="J58" s="124">
        <f t="shared" si="1"/>
        <v>0</v>
      </c>
    </row>
    <row r="59" spans="1:10" ht="15.75" outlineLevel="2">
      <c r="A59" s="56"/>
      <c r="B59" s="200"/>
      <c r="C59" s="169"/>
      <c r="D59" s="147"/>
      <c r="E59" s="111"/>
      <c r="F59" s="111">
        <f t="shared" si="4"/>
        <v>0</v>
      </c>
      <c r="G59" s="111">
        <f t="shared" si="8"/>
        <v>0</v>
      </c>
      <c r="H59" s="221">
        <f>D59*G59</f>
        <v>0</v>
      </c>
      <c r="I59" s="54"/>
      <c r="J59" s="124">
        <f t="shared" si="1"/>
        <v>0</v>
      </c>
    </row>
    <row r="60" spans="1:10" ht="15.75" outlineLevel="2">
      <c r="A60" s="56"/>
      <c r="B60" s="55"/>
      <c r="C60" s="170"/>
      <c r="D60" s="111"/>
      <c r="E60" s="111"/>
      <c r="F60" s="111">
        <f t="shared" si="4"/>
        <v>0</v>
      </c>
      <c r="G60" s="111">
        <f t="shared" si="8"/>
        <v>0</v>
      </c>
      <c r="H60" s="221">
        <f>D60*G60</f>
        <v>0</v>
      </c>
      <c r="I60" s="54"/>
      <c r="J60" s="124">
        <f t="shared" si="1"/>
        <v>0</v>
      </c>
    </row>
    <row r="61" spans="1:10" s="119" customFormat="1" ht="15.75" outlineLevel="1">
      <c r="A61" s="50" t="s">
        <v>506</v>
      </c>
      <c r="B61" s="151" t="s">
        <v>176</v>
      </c>
      <c r="C61" s="168"/>
      <c r="D61" s="118"/>
      <c r="E61" s="118"/>
      <c r="F61" s="118">
        <f t="shared" si="4"/>
        <v>0</v>
      </c>
      <c r="G61" s="118">
        <f t="shared" si="8"/>
        <v>0</v>
      </c>
      <c r="H61" s="220">
        <f>SUBTOTAL(9,H62:H64)</f>
        <v>0</v>
      </c>
      <c r="I61" s="120"/>
      <c r="J61" s="124">
        <f t="shared" si="1"/>
        <v>0</v>
      </c>
    </row>
    <row r="62" spans="1:10" ht="15.75" outlineLevel="2">
      <c r="A62" s="56" t="s">
        <v>507</v>
      </c>
      <c r="B62" s="53" t="s">
        <v>178</v>
      </c>
      <c r="C62" s="169" t="s">
        <v>88</v>
      </c>
      <c r="D62" s="147">
        <v>530</v>
      </c>
      <c r="E62" s="111"/>
      <c r="F62" s="111">
        <f t="shared" si="4"/>
        <v>0</v>
      </c>
      <c r="G62" s="111">
        <f t="shared" si="8"/>
        <v>0</v>
      </c>
      <c r="H62" s="221">
        <f>D62*G62</f>
        <v>0</v>
      </c>
      <c r="I62" s="54"/>
      <c r="J62" s="124">
        <f t="shared" si="1"/>
        <v>0</v>
      </c>
    </row>
    <row r="63" spans="1:10" ht="15.75" outlineLevel="2">
      <c r="A63" s="56" t="s">
        <v>628</v>
      </c>
      <c r="B63" s="53" t="s">
        <v>180</v>
      </c>
      <c r="C63" s="169" t="s">
        <v>80</v>
      </c>
      <c r="D63" s="147">
        <v>8</v>
      </c>
      <c r="E63" s="111"/>
      <c r="F63" s="111">
        <f t="shared" si="4"/>
        <v>0</v>
      </c>
      <c r="G63" s="111">
        <f t="shared" si="8"/>
        <v>0</v>
      </c>
      <c r="H63" s="221">
        <f>D63*G63</f>
        <v>0</v>
      </c>
      <c r="I63" s="54"/>
      <c r="J63" s="124">
        <f t="shared" si="1"/>
        <v>0</v>
      </c>
    </row>
    <row r="64" spans="1:10" ht="15.75" outlineLevel="2">
      <c r="A64" s="56"/>
      <c r="B64" s="55"/>
      <c r="C64" s="170"/>
      <c r="D64" s="111"/>
      <c r="E64" s="111"/>
      <c r="F64" s="111">
        <f t="shared" si="4"/>
        <v>0</v>
      </c>
      <c r="G64" s="111">
        <f t="shared" si="8"/>
        <v>0</v>
      </c>
      <c r="H64" s="221">
        <f>D64*G64</f>
        <v>0</v>
      </c>
      <c r="I64" s="54"/>
      <c r="J64" s="124">
        <f t="shared" si="1"/>
        <v>0</v>
      </c>
    </row>
    <row r="65" spans="1:10" s="119" customFormat="1" ht="15.75" outlineLevel="1">
      <c r="A65" s="50" t="s">
        <v>508</v>
      </c>
      <c r="B65" s="151" t="s">
        <v>1139</v>
      </c>
      <c r="C65" s="168"/>
      <c r="D65" s="118"/>
      <c r="E65" s="118"/>
      <c r="F65" s="118">
        <f t="shared" si="4"/>
        <v>0</v>
      </c>
      <c r="G65" s="118">
        <f t="shared" si="7"/>
        <v>0</v>
      </c>
      <c r="H65" s="220">
        <f>SUBTOTAL(9,H66:H68)</f>
        <v>0</v>
      </c>
      <c r="I65" s="120"/>
      <c r="J65" s="124">
        <f t="shared" si="1"/>
        <v>0</v>
      </c>
    </row>
    <row r="66" spans="1:10" ht="15.75" outlineLevel="2">
      <c r="A66" s="56" t="s">
        <v>509</v>
      </c>
      <c r="B66" s="53" t="s">
        <v>620</v>
      </c>
      <c r="C66" s="169" t="s">
        <v>3</v>
      </c>
      <c r="D66" s="147">
        <v>21</v>
      </c>
      <c r="E66" s="111"/>
      <c r="F66" s="111">
        <f t="shared" si="4"/>
        <v>0</v>
      </c>
      <c r="G66" s="111">
        <f t="shared" si="7"/>
        <v>0</v>
      </c>
      <c r="H66" s="221">
        <f>D66*G66</f>
        <v>0</v>
      </c>
      <c r="I66" s="54"/>
      <c r="J66" s="124">
        <f t="shared" si="1"/>
        <v>0</v>
      </c>
    </row>
    <row r="67" spans="1:10" ht="31.5" outlineLevel="2">
      <c r="A67" s="56" t="s">
        <v>510</v>
      </c>
      <c r="B67" s="53" t="s">
        <v>330</v>
      </c>
      <c r="C67" s="169" t="s">
        <v>80</v>
      </c>
      <c r="D67" s="147">
        <v>30</v>
      </c>
      <c r="E67" s="111"/>
      <c r="F67" s="111">
        <f t="shared" si="4"/>
        <v>0</v>
      </c>
      <c r="G67" s="111">
        <f>+E67+F67</f>
        <v>0</v>
      </c>
      <c r="H67" s="221">
        <f>D67*G67</f>
        <v>0</v>
      </c>
      <c r="I67" s="54"/>
      <c r="J67" s="124">
        <f t="shared" si="1"/>
        <v>0</v>
      </c>
    </row>
    <row r="68" spans="1:10" ht="15.75" outlineLevel="2">
      <c r="A68" s="56"/>
      <c r="B68" s="55"/>
      <c r="C68" s="170"/>
      <c r="D68" s="111"/>
      <c r="E68" s="111"/>
      <c r="F68" s="111">
        <f t="shared" si="4"/>
        <v>0</v>
      </c>
      <c r="G68" s="111">
        <f t="shared" si="7"/>
        <v>0</v>
      </c>
      <c r="H68" s="221">
        <f>D68*G68</f>
        <v>0</v>
      </c>
      <c r="I68" s="54"/>
      <c r="J68" s="124">
        <f t="shared" si="1"/>
        <v>0</v>
      </c>
    </row>
    <row r="69" spans="1:10" s="119" customFormat="1" ht="15.75" outlineLevel="1">
      <c r="A69" s="50" t="s">
        <v>511</v>
      </c>
      <c r="B69" s="151" t="s">
        <v>182</v>
      </c>
      <c r="C69" s="168"/>
      <c r="D69" s="118"/>
      <c r="E69" s="118"/>
      <c r="F69" s="118">
        <f t="shared" si="4"/>
        <v>0</v>
      </c>
      <c r="G69" s="118">
        <f t="shared" si="7"/>
        <v>0</v>
      </c>
      <c r="H69" s="220">
        <f>SUBTOTAL(9,H70:H72)</f>
        <v>0</v>
      </c>
      <c r="I69" s="120"/>
      <c r="J69" s="124">
        <f t="shared" si="1"/>
        <v>0</v>
      </c>
    </row>
    <row r="70" spans="1:10" ht="15.75" outlineLevel="2">
      <c r="A70" s="56" t="s">
        <v>512</v>
      </c>
      <c r="B70" s="53" t="s">
        <v>172</v>
      </c>
      <c r="C70" s="169" t="s">
        <v>88</v>
      </c>
      <c r="D70" s="147">
        <f>30*14</f>
        <v>420</v>
      </c>
      <c r="E70" s="111"/>
      <c r="F70" s="111">
        <f t="shared" si="4"/>
        <v>0</v>
      </c>
      <c r="G70" s="111">
        <f t="shared" si="7"/>
        <v>0</v>
      </c>
      <c r="H70" s="221">
        <f>D70*G70</f>
        <v>0</v>
      </c>
      <c r="I70" s="54"/>
      <c r="J70" s="124">
        <f t="shared" si="1"/>
        <v>0</v>
      </c>
    </row>
    <row r="71" spans="1:10" ht="15.75" outlineLevel="2">
      <c r="A71" s="56" t="s">
        <v>514</v>
      </c>
      <c r="B71" s="53" t="s">
        <v>646</v>
      </c>
      <c r="C71" s="169" t="s">
        <v>80</v>
      </c>
      <c r="D71" s="111">
        <v>20</v>
      </c>
      <c r="E71" s="111"/>
      <c r="F71" s="111">
        <f t="shared" si="4"/>
        <v>0</v>
      </c>
      <c r="G71" s="111">
        <f>+E71+F71</f>
        <v>0</v>
      </c>
      <c r="H71" s="221">
        <f>D71*G71</f>
        <v>0</v>
      </c>
      <c r="I71" s="54"/>
      <c r="J71" s="124">
        <f>+D71*G71</f>
        <v>0</v>
      </c>
    </row>
    <row r="72" spans="1:10" ht="15.75" outlineLevel="2">
      <c r="A72" s="56"/>
      <c r="B72" s="55"/>
      <c r="C72" s="170"/>
      <c r="D72" s="111"/>
      <c r="E72" s="111"/>
      <c r="F72" s="111">
        <f t="shared" si="4"/>
        <v>0</v>
      </c>
      <c r="G72" s="111">
        <f t="shared" si="7"/>
        <v>0</v>
      </c>
      <c r="H72" s="221">
        <f>D72*G72</f>
        <v>0</v>
      </c>
      <c r="I72" s="54"/>
      <c r="J72" s="124">
        <f t="shared" si="1"/>
        <v>0</v>
      </c>
    </row>
    <row r="73" spans="1:10" s="119" customFormat="1" ht="15.75" outlineLevel="1">
      <c r="A73" s="50" t="s">
        <v>633</v>
      </c>
      <c r="B73" s="151" t="s">
        <v>1138</v>
      </c>
      <c r="C73" s="168"/>
      <c r="D73" s="118"/>
      <c r="E73" s="118"/>
      <c r="F73" s="118">
        <f t="shared" si="4"/>
        <v>0</v>
      </c>
      <c r="G73" s="118">
        <f t="shared" si="7"/>
        <v>0</v>
      </c>
      <c r="H73" s="220">
        <f>SUBTOTAL(9,H74:H85)</f>
        <v>0</v>
      </c>
      <c r="I73" s="120"/>
      <c r="J73" s="124">
        <f t="shared" si="1"/>
        <v>0</v>
      </c>
    </row>
    <row r="74" spans="1:10" ht="15.75" outlineLevel="2">
      <c r="A74" s="56" t="s">
        <v>634</v>
      </c>
      <c r="B74" s="53" t="s">
        <v>174</v>
      </c>
      <c r="C74" s="169" t="s">
        <v>88</v>
      </c>
      <c r="D74" s="147">
        <f>152+152+42+42+16*10</f>
        <v>548</v>
      </c>
      <c r="E74" s="111"/>
      <c r="F74" s="111">
        <f t="shared" si="4"/>
        <v>0</v>
      </c>
      <c r="G74" s="111">
        <f>+E74+F74</f>
        <v>0</v>
      </c>
      <c r="H74" s="221">
        <f>D74*G74</f>
        <v>0</v>
      </c>
      <c r="I74" s="54"/>
      <c r="J74" s="124">
        <f t="shared" si="1"/>
        <v>0</v>
      </c>
    </row>
    <row r="75" spans="1:10" ht="15.75" outlineLevel="2">
      <c r="A75" s="56" t="s">
        <v>635</v>
      </c>
      <c r="B75" s="53" t="s">
        <v>166</v>
      </c>
      <c r="C75" s="169" t="s">
        <v>80</v>
      </c>
      <c r="D75" s="147">
        <v>24</v>
      </c>
      <c r="E75" s="111"/>
      <c r="F75" s="111">
        <f t="shared" si="4"/>
        <v>0</v>
      </c>
      <c r="G75" s="111">
        <f>+E75+F75</f>
        <v>0</v>
      </c>
      <c r="H75" s="221">
        <f>D75*G75</f>
        <v>0</v>
      </c>
      <c r="I75" s="54"/>
      <c r="J75" s="124">
        <f t="shared" si="1"/>
        <v>0</v>
      </c>
    </row>
    <row r="76" spans="1:10" ht="15.75" outlineLevel="2">
      <c r="A76" s="56" t="s">
        <v>636</v>
      </c>
      <c r="B76" s="53" t="s">
        <v>168</v>
      </c>
      <c r="C76" s="169" t="s">
        <v>80</v>
      </c>
      <c r="D76" s="147">
        <v>24</v>
      </c>
      <c r="E76" s="111"/>
      <c r="F76" s="111">
        <f t="shared" si="4"/>
        <v>0</v>
      </c>
      <c r="G76" s="111">
        <f>+E76+F76</f>
        <v>0</v>
      </c>
      <c r="H76" s="221">
        <f>D76*G76</f>
        <v>0</v>
      </c>
      <c r="I76" s="54"/>
      <c r="J76" s="124">
        <f t="shared" si="1"/>
        <v>0</v>
      </c>
    </row>
    <row r="77" spans="1:10" ht="15.75" outlineLevel="2">
      <c r="A77" s="56" t="s">
        <v>637</v>
      </c>
      <c r="B77" s="53" t="s">
        <v>170</v>
      </c>
      <c r="C77" s="169" t="s">
        <v>88</v>
      </c>
      <c r="D77" s="147">
        <f>152*1+10*1</f>
        <v>162</v>
      </c>
      <c r="E77" s="111"/>
      <c r="F77" s="111">
        <f t="shared" si="4"/>
        <v>0</v>
      </c>
      <c r="G77" s="111">
        <f t="shared" si="7"/>
        <v>0</v>
      </c>
      <c r="H77" s="221">
        <f>D77*G77</f>
        <v>0</v>
      </c>
      <c r="I77" s="54"/>
      <c r="J77" s="124">
        <f t="shared" si="1"/>
        <v>0</v>
      </c>
    </row>
    <row r="78" spans="1:10" ht="15.75" outlineLevel="2">
      <c r="A78" s="56" t="s">
        <v>638</v>
      </c>
      <c r="B78" s="53" t="s">
        <v>178</v>
      </c>
      <c r="C78" s="169" t="s">
        <v>88</v>
      </c>
      <c r="D78" s="147">
        <v>980</v>
      </c>
      <c r="E78" s="111"/>
      <c r="F78" s="111">
        <f t="shared" si="4"/>
        <v>0</v>
      </c>
      <c r="G78" s="111">
        <f t="shared" si="7"/>
        <v>0</v>
      </c>
      <c r="H78" s="221">
        <f aca="true" t="shared" si="9" ref="H78:H84">D78*G78</f>
        <v>0</v>
      </c>
      <c r="I78" s="54"/>
      <c r="J78" s="124">
        <f t="shared" si="1"/>
        <v>0</v>
      </c>
    </row>
    <row r="79" spans="1:10" ht="15.75" outlineLevel="2">
      <c r="A79" s="56" t="s">
        <v>639</v>
      </c>
      <c r="B79" s="53" t="s">
        <v>180</v>
      </c>
      <c r="C79" s="169" t="s">
        <v>80</v>
      </c>
      <c r="D79" s="147">
        <v>8</v>
      </c>
      <c r="E79" s="111"/>
      <c r="F79" s="111">
        <f t="shared" si="4"/>
        <v>0</v>
      </c>
      <c r="G79" s="111">
        <f t="shared" si="7"/>
        <v>0</v>
      </c>
      <c r="H79" s="221">
        <f t="shared" si="9"/>
        <v>0</v>
      </c>
      <c r="I79" s="54"/>
      <c r="J79" s="124">
        <f t="shared" si="1"/>
        <v>0</v>
      </c>
    </row>
    <row r="80" spans="1:10" ht="31.5" outlineLevel="2">
      <c r="A80" s="56" t="s">
        <v>640</v>
      </c>
      <c r="B80" s="53" t="s">
        <v>329</v>
      </c>
      <c r="C80" s="169" t="s">
        <v>88</v>
      </c>
      <c r="D80" s="147">
        <v>3040</v>
      </c>
      <c r="E80" s="111"/>
      <c r="F80" s="111">
        <f t="shared" si="4"/>
        <v>0</v>
      </c>
      <c r="G80" s="111">
        <f t="shared" si="7"/>
        <v>0</v>
      </c>
      <c r="H80" s="221">
        <f t="shared" si="9"/>
        <v>0</v>
      </c>
      <c r="I80" s="54"/>
      <c r="J80" s="124">
        <f t="shared" si="1"/>
        <v>0</v>
      </c>
    </row>
    <row r="81" spans="1:10" ht="15.75" outlineLevel="2">
      <c r="A81" s="56" t="s">
        <v>641</v>
      </c>
      <c r="B81" s="53" t="s">
        <v>616</v>
      </c>
      <c r="C81" s="169" t="s">
        <v>80</v>
      </c>
      <c r="D81" s="147">
        <v>450</v>
      </c>
      <c r="E81" s="111"/>
      <c r="F81" s="111">
        <f aca="true" t="shared" si="10" ref="F81:F109">+E81*$H$7</f>
        <v>0</v>
      </c>
      <c r="G81" s="111">
        <f t="shared" si="7"/>
        <v>0</v>
      </c>
      <c r="H81" s="221">
        <f t="shared" si="9"/>
        <v>0</v>
      </c>
      <c r="I81" s="54"/>
      <c r="J81" s="124">
        <f t="shared" si="1"/>
        <v>0</v>
      </c>
    </row>
    <row r="82" spans="1:10" ht="15.75" outlineLevel="2">
      <c r="A82" s="56" t="s">
        <v>642</v>
      </c>
      <c r="B82" s="53" t="s">
        <v>617</v>
      </c>
      <c r="C82" s="169" t="s">
        <v>80</v>
      </c>
      <c r="D82" s="147">
        <v>300</v>
      </c>
      <c r="E82" s="111"/>
      <c r="F82" s="111">
        <f t="shared" si="10"/>
        <v>0</v>
      </c>
      <c r="G82" s="111">
        <f t="shared" si="7"/>
        <v>0</v>
      </c>
      <c r="H82" s="221">
        <f t="shared" si="9"/>
        <v>0</v>
      </c>
      <c r="I82" s="54"/>
      <c r="J82" s="124">
        <f t="shared" si="1"/>
        <v>0</v>
      </c>
    </row>
    <row r="83" spans="1:10" ht="15.75" outlineLevel="2">
      <c r="A83" s="56" t="s">
        <v>643</v>
      </c>
      <c r="B83" s="53" t="s">
        <v>170</v>
      </c>
      <c r="C83" s="169" t="s">
        <v>88</v>
      </c>
      <c r="D83" s="147">
        <v>1</v>
      </c>
      <c r="E83" s="111"/>
      <c r="F83" s="111">
        <f t="shared" si="10"/>
        <v>0</v>
      </c>
      <c r="G83" s="111">
        <f t="shared" si="7"/>
        <v>0</v>
      </c>
      <c r="H83" s="221">
        <f t="shared" si="9"/>
        <v>0</v>
      </c>
      <c r="I83" s="54"/>
      <c r="J83" s="124">
        <f aca="true" t="shared" si="11" ref="J83:J94">+D83*G83</f>
        <v>0</v>
      </c>
    </row>
    <row r="84" spans="1:10" ht="15.75" outlineLevel="2">
      <c r="A84" s="56" t="s">
        <v>644</v>
      </c>
      <c r="B84" s="53" t="s">
        <v>618</v>
      </c>
      <c r="C84" s="169" t="s">
        <v>88</v>
      </c>
      <c r="D84" s="147">
        <v>480</v>
      </c>
      <c r="E84" s="111"/>
      <c r="F84" s="111">
        <f t="shared" si="10"/>
        <v>0</v>
      </c>
      <c r="G84" s="111">
        <f t="shared" si="7"/>
        <v>0</v>
      </c>
      <c r="H84" s="221">
        <f t="shared" si="9"/>
        <v>0</v>
      </c>
      <c r="I84" s="54"/>
      <c r="J84" s="124">
        <f t="shared" si="11"/>
        <v>0</v>
      </c>
    </row>
    <row r="85" spans="1:10" ht="15.75" outlineLevel="2">
      <c r="A85" s="56"/>
      <c r="B85" s="55"/>
      <c r="C85" s="170"/>
      <c r="D85" s="111"/>
      <c r="E85" s="111"/>
      <c r="F85" s="111">
        <f t="shared" si="10"/>
        <v>0</v>
      </c>
      <c r="G85" s="111">
        <f>+E85+F85</f>
        <v>0</v>
      </c>
      <c r="H85" s="221">
        <f>D85*G85</f>
        <v>0</v>
      </c>
      <c r="I85" s="54"/>
      <c r="J85" s="124">
        <f t="shared" si="11"/>
        <v>0</v>
      </c>
    </row>
    <row r="86" spans="1:10" s="119" customFormat="1" ht="15.75" outlineLevel="1">
      <c r="A86" s="50" t="s">
        <v>511</v>
      </c>
      <c r="B86" s="151" t="s">
        <v>186</v>
      </c>
      <c r="C86" s="168"/>
      <c r="D86" s="118"/>
      <c r="E86" s="118"/>
      <c r="F86" s="118">
        <f t="shared" si="10"/>
        <v>0</v>
      </c>
      <c r="G86" s="118">
        <f aca="true" t="shared" si="12" ref="G86:G91">+E86+F86</f>
        <v>0</v>
      </c>
      <c r="H86" s="220">
        <f>SUBTOTAL(9,H87:H92)</f>
        <v>0</v>
      </c>
      <c r="I86" s="120"/>
      <c r="J86" s="124">
        <f t="shared" si="11"/>
        <v>0</v>
      </c>
    </row>
    <row r="87" spans="1:10" ht="15.75" outlineLevel="2">
      <c r="A87" s="57" t="s">
        <v>512</v>
      </c>
      <c r="B87" s="53" t="s">
        <v>252</v>
      </c>
      <c r="C87" s="169" t="s">
        <v>130</v>
      </c>
      <c r="D87" s="179">
        <v>216</v>
      </c>
      <c r="E87" s="111"/>
      <c r="F87" s="113">
        <f t="shared" si="10"/>
        <v>0</v>
      </c>
      <c r="G87" s="113">
        <f>+E87+F87</f>
        <v>0</v>
      </c>
      <c r="H87" s="224">
        <f>D87*G87</f>
        <v>0</v>
      </c>
      <c r="I87" s="54"/>
      <c r="J87" s="124">
        <f t="shared" si="11"/>
        <v>0</v>
      </c>
    </row>
    <row r="88" spans="1:10" ht="15.75" outlineLevel="2">
      <c r="A88" s="57" t="s">
        <v>513</v>
      </c>
      <c r="B88" s="53" t="s">
        <v>190</v>
      </c>
      <c r="C88" s="169" t="s">
        <v>102</v>
      </c>
      <c r="D88" s="113">
        <v>3451.11</v>
      </c>
      <c r="E88" s="111"/>
      <c r="F88" s="113">
        <f t="shared" si="10"/>
        <v>0</v>
      </c>
      <c r="G88" s="113">
        <f t="shared" si="12"/>
        <v>0</v>
      </c>
      <c r="H88" s="224">
        <f>D88*G88</f>
        <v>0</v>
      </c>
      <c r="I88" s="54"/>
      <c r="J88" s="124">
        <f t="shared" si="11"/>
        <v>0</v>
      </c>
    </row>
    <row r="89" spans="1:10" ht="31.5" outlineLevel="2">
      <c r="A89" s="57" t="s">
        <v>514</v>
      </c>
      <c r="B89" s="53" t="s">
        <v>192</v>
      </c>
      <c r="C89" s="169" t="s">
        <v>102</v>
      </c>
      <c r="D89" s="113">
        <f>+D41*16/1000+D43*16/1000</f>
        <v>129.856</v>
      </c>
      <c r="E89" s="111"/>
      <c r="F89" s="113">
        <f t="shared" si="10"/>
        <v>0</v>
      </c>
      <c r="G89" s="113">
        <f t="shared" si="12"/>
        <v>0</v>
      </c>
      <c r="H89" s="224">
        <f>D89*G89</f>
        <v>0</v>
      </c>
      <c r="I89" s="54"/>
      <c r="J89" s="124">
        <f t="shared" si="11"/>
        <v>0</v>
      </c>
    </row>
    <row r="90" spans="1:10" ht="15.75" outlineLevel="2">
      <c r="A90" s="57" t="s">
        <v>515</v>
      </c>
      <c r="B90" s="53" t="s">
        <v>188</v>
      </c>
      <c r="C90" s="169" t="s">
        <v>100</v>
      </c>
      <c r="D90" s="113">
        <f>+(D91)*45</f>
        <v>77650.2</v>
      </c>
      <c r="E90" s="111"/>
      <c r="F90" s="113">
        <f t="shared" si="10"/>
        <v>0</v>
      </c>
      <c r="G90" s="113">
        <f t="shared" si="12"/>
        <v>0</v>
      </c>
      <c r="H90" s="224">
        <f>D90*G90</f>
        <v>0</v>
      </c>
      <c r="I90" s="54"/>
      <c r="J90" s="124">
        <f t="shared" si="11"/>
        <v>0</v>
      </c>
    </row>
    <row r="91" spans="1:10" ht="31.5" outlineLevel="2">
      <c r="A91" s="57" t="s">
        <v>516</v>
      </c>
      <c r="B91" s="53" t="s">
        <v>184</v>
      </c>
      <c r="C91" s="169" t="s">
        <v>334</v>
      </c>
      <c r="D91" s="179">
        <v>1725.56</v>
      </c>
      <c r="E91" s="111"/>
      <c r="F91" s="113">
        <f t="shared" si="10"/>
        <v>0</v>
      </c>
      <c r="G91" s="113">
        <f t="shared" si="12"/>
        <v>0</v>
      </c>
      <c r="H91" s="224">
        <f>D91*G91</f>
        <v>0</v>
      </c>
      <c r="I91" s="54"/>
      <c r="J91" s="124">
        <f t="shared" si="11"/>
        <v>0</v>
      </c>
    </row>
    <row r="92" spans="1:10" ht="15.75" outlineLevel="1">
      <c r="A92" s="52"/>
      <c r="B92" s="58"/>
      <c r="C92" s="173"/>
      <c r="D92" s="113"/>
      <c r="E92" s="113"/>
      <c r="F92" s="113">
        <f t="shared" si="10"/>
        <v>0</v>
      </c>
      <c r="G92" s="113">
        <f aca="true" t="shared" si="13" ref="G92:G100">+E92+F92</f>
        <v>0</v>
      </c>
      <c r="H92" s="224">
        <v>0</v>
      </c>
      <c r="I92" s="54"/>
      <c r="J92" s="124">
        <f t="shared" si="11"/>
        <v>0</v>
      </c>
    </row>
    <row r="93" spans="1:10" ht="15.75">
      <c r="A93" s="59" t="s">
        <v>792</v>
      </c>
      <c r="B93" s="60" t="s">
        <v>723</v>
      </c>
      <c r="C93" s="171">
        <v>0</v>
      </c>
      <c r="D93" s="112"/>
      <c r="E93" s="112"/>
      <c r="F93" s="112">
        <f t="shared" si="10"/>
        <v>0</v>
      </c>
      <c r="G93" s="112">
        <f t="shared" si="13"/>
        <v>0</v>
      </c>
      <c r="H93" s="223">
        <f>SUBTOTAL(9,H94:H157)</f>
        <v>0</v>
      </c>
      <c r="I93" s="54"/>
      <c r="J93" s="124">
        <f t="shared" si="11"/>
        <v>0</v>
      </c>
    </row>
    <row r="94" spans="1:10" s="119" customFormat="1" ht="15.75" outlineLevel="1">
      <c r="A94" s="50" t="s">
        <v>517</v>
      </c>
      <c r="B94" s="151" t="s">
        <v>773</v>
      </c>
      <c r="C94" s="168"/>
      <c r="D94" s="118"/>
      <c r="E94" s="118"/>
      <c r="F94" s="118">
        <f t="shared" si="10"/>
        <v>0</v>
      </c>
      <c r="G94" s="118">
        <f t="shared" si="13"/>
        <v>0</v>
      </c>
      <c r="H94" s="220">
        <f>SUBTOTAL(9,H95:H109)</f>
        <v>0</v>
      </c>
      <c r="I94" s="120"/>
      <c r="J94" s="124">
        <f t="shared" si="11"/>
        <v>0</v>
      </c>
    </row>
    <row r="95" spans="1:10" ht="15.75" outlineLevel="2">
      <c r="A95" s="52" t="s">
        <v>518</v>
      </c>
      <c r="B95" s="53" t="s">
        <v>733</v>
      </c>
      <c r="C95" s="169" t="s">
        <v>334</v>
      </c>
      <c r="D95" s="113">
        <v>319.46</v>
      </c>
      <c r="E95" s="111"/>
      <c r="F95" s="113">
        <f t="shared" si="10"/>
        <v>0</v>
      </c>
      <c r="G95" s="113">
        <f t="shared" si="13"/>
        <v>0</v>
      </c>
      <c r="H95" s="224">
        <f aca="true" t="shared" si="14" ref="H95:H100">D95*G95</f>
        <v>0</v>
      </c>
      <c r="I95" s="54"/>
      <c r="J95" s="124">
        <f aca="true" t="shared" si="15" ref="J95:J100">+D95*G95</f>
        <v>0</v>
      </c>
    </row>
    <row r="96" spans="1:10" ht="15.75" outlineLevel="2">
      <c r="A96" s="52" t="s">
        <v>519</v>
      </c>
      <c r="B96" s="53" t="s">
        <v>75</v>
      </c>
      <c r="C96" s="169" t="s">
        <v>334</v>
      </c>
      <c r="D96" s="113">
        <v>197.78</v>
      </c>
      <c r="E96" s="111"/>
      <c r="F96" s="113">
        <f t="shared" si="10"/>
        <v>0</v>
      </c>
      <c r="G96" s="113">
        <f t="shared" si="13"/>
        <v>0</v>
      </c>
      <c r="H96" s="224">
        <f t="shared" si="14"/>
        <v>0</v>
      </c>
      <c r="I96" s="54"/>
      <c r="J96" s="124">
        <f t="shared" si="15"/>
        <v>0</v>
      </c>
    </row>
    <row r="97" spans="1:10" ht="15.75" outlineLevel="2">
      <c r="A97" s="52" t="s">
        <v>520</v>
      </c>
      <c r="B97" s="53" t="s">
        <v>193</v>
      </c>
      <c r="C97" s="169" t="s">
        <v>334</v>
      </c>
      <c r="D97" s="113">
        <v>164.27</v>
      </c>
      <c r="E97" s="111"/>
      <c r="F97" s="113">
        <f t="shared" si="10"/>
        <v>0</v>
      </c>
      <c r="G97" s="113">
        <f t="shared" si="13"/>
        <v>0</v>
      </c>
      <c r="H97" s="224">
        <f t="shared" si="14"/>
        <v>0</v>
      </c>
      <c r="I97" s="54"/>
      <c r="J97" s="124">
        <f t="shared" si="15"/>
        <v>0</v>
      </c>
    </row>
    <row r="98" spans="1:10" ht="31.5" outlineLevel="2">
      <c r="A98" s="52" t="s">
        <v>521</v>
      </c>
      <c r="B98" s="53" t="s">
        <v>86</v>
      </c>
      <c r="C98" s="169" t="s">
        <v>334</v>
      </c>
      <c r="D98" s="113">
        <v>164.27</v>
      </c>
      <c r="E98" s="111"/>
      <c r="F98" s="113">
        <f t="shared" si="10"/>
        <v>0</v>
      </c>
      <c r="G98" s="113">
        <f t="shared" si="13"/>
        <v>0</v>
      </c>
      <c r="H98" s="224">
        <f t="shared" si="14"/>
        <v>0</v>
      </c>
      <c r="I98" s="54"/>
      <c r="J98" s="124">
        <f t="shared" si="15"/>
        <v>0</v>
      </c>
    </row>
    <row r="99" spans="1:10" ht="15.75" outlineLevel="2">
      <c r="A99" s="52" t="s">
        <v>760</v>
      </c>
      <c r="B99" s="53" t="s">
        <v>735</v>
      </c>
      <c r="C99" s="169" t="s">
        <v>334</v>
      </c>
      <c r="D99" s="113">
        <v>164.27</v>
      </c>
      <c r="E99" s="111"/>
      <c r="F99" s="113">
        <f t="shared" si="10"/>
        <v>0</v>
      </c>
      <c r="G99" s="113">
        <f t="shared" si="13"/>
        <v>0</v>
      </c>
      <c r="H99" s="224">
        <f t="shared" si="14"/>
        <v>0</v>
      </c>
      <c r="I99" s="54"/>
      <c r="J99" s="124">
        <f t="shared" si="15"/>
        <v>0</v>
      </c>
    </row>
    <row r="100" spans="1:10" ht="31.5" outlineLevel="2">
      <c r="A100" s="52" t="s">
        <v>761</v>
      </c>
      <c r="B100" s="53" t="s">
        <v>328</v>
      </c>
      <c r="C100" s="169" t="s">
        <v>3</v>
      </c>
      <c r="D100" s="113">
        <v>164.27</v>
      </c>
      <c r="E100" s="111"/>
      <c r="F100" s="113">
        <f t="shared" si="10"/>
        <v>0</v>
      </c>
      <c r="G100" s="113">
        <f t="shared" si="13"/>
        <v>0</v>
      </c>
      <c r="H100" s="224">
        <f t="shared" si="14"/>
        <v>0</v>
      </c>
      <c r="I100" s="54"/>
      <c r="J100" s="124">
        <f t="shared" si="15"/>
        <v>0</v>
      </c>
    </row>
    <row r="101" spans="1:10" ht="15.75" outlineLevel="2">
      <c r="A101" s="52" t="s">
        <v>762</v>
      </c>
      <c r="B101" s="53" t="s">
        <v>208</v>
      </c>
      <c r="C101" s="169" t="s">
        <v>334</v>
      </c>
      <c r="D101" s="113">
        <v>43.86</v>
      </c>
      <c r="E101" s="111"/>
      <c r="F101" s="113">
        <f t="shared" si="10"/>
        <v>0</v>
      </c>
      <c r="G101" s="113">
        <f aca="true" t="shared" si="16" ref="G101:G107">+E101+F101</f>
        <v>0</v>
      </c>
      <c r="H101" s="224">
        <f aca="true" t="shared" si="17" ref="H101:H107">D101*G101</f>
        <v>0</v>
      </c>
      <c r="I101" s="54"/>
      <c r="J101" s="124">
        <f aca="true" t="shared" si="18" ref="J101:J107">+D101*G101</f>
        <v>0</v>
      </c>
    </row>
    <row r="102" spans="1:10" ht="15.75" outlineLevel="2">
      <c r="A102" s="52" t="s">
        <v>763</v>
      </c>
      <c r="B102" s="53" t="s">
        <v>734</v>
      </c>
      <c r="C102" s="169" t="s">
        <v>3</v>
      </c>
      <c r="D102" s="113">
        <v>5.48</v>
      </c>
      <c r="E102" s="111"/>
      <c r="F102" s="113">
        <f t="shared" si="10"/>
        <v>0</v>
      </c>
      <c r="G102" s="113">
        <f>+E102+F102</f>
        <v>0</v>
      </c>
      <c r="H102" s="224">
        <f>D102*G102</f>
        <v>0</v>
      </c>
      <c r="I102" s="54"/>
      <c r="J102" s="124">
        <f>+D102*G102</f>
        <v>0</v>
      </c>
    </row>
    <row r="103" spans="1:10" ht="15.75" outlineLevel="2">
      <c r="A103" s="52" t="s">
        <v>764</v>
      </c>
      <c r="B103" s="53" t="s">
        <v>89</v>
      </c>
      <c r="C103" s="169" t="s">
        <v>3</v>
      </c>
      <c r="D103" s="113">
        <v>191.32</v>
      </c>
      <c r="E103" s="111"/>
      <c r="F103" s="113">
        <f t="shared" si="10"/>
        <v>0</v>
      </c>
      <c r="G103" s="113">
        <f t="shared" si="16"/>
        <v>0</v>
      </c>
      <c r="H103" s="224">
        <f t="shared" si="17"/>
        <v>0</v>
      </c>
      <c r="I103" s="54"/>
      <c r="J103" s="124">
        <f t="shared" si="18"/>
        <v>0</v>
      </c>
    </row>
    <row r="104" spans="1:10" ht="15.75" outlineLevel="2">
      <c r="A104" s="52" t="s">
        <v>765</v>
      </c>
      <c r="B104" s="53" t="s">
        <v>76</v>
      </c>
      <c r="C104" s="169" t="s">
        <v>99</v>
      </c>
      <c r="D104" s="113">
        <v>2443.7</v>
      </c>
      <c r="E104" s="111"/>
      <c r="F104" s="113">
        <f t="shared" si="10"/>
        <v>0</v>
      </c>
      <c r="G104" s="113">
        <f t="shared" si="16"/>
        <v>0</v>
      </c>
      <c r="H104" s="224">
        <f t="shared" si="17"/>
        <v>0</v>
      </c>
      <c r="I104" s="54"/>
      <c r="J104" s="124">
        <f t="shared" si="18"/>
        <v>0</v>
      </c>
    </row>
    <row r="105" spans="1:10" ht="15.75" outlineLevel="2">
      <c r="A105" s="52" t="s">
        <v>766</v>
      </c>
      <c r="B105" s="53" t="s">
        <v>1396</v>
      </c>
      <c r="C105" s="169" t="s">
        <v>99</v>
      </c>
      <c r="D105" s="113">
        <v>18.7</v>
      </c>
      <c r="E105" s="111"/>
      <c r="F105" s="113">
        <f t="shared" si="10"/>
        <v>0</v>
      </c>
      <c r="G105" s="113">
        <f t="shared" si="16"/>
        <v>0</v>
      </c>
      <c r="H105" s="224">
        <f t="shared" si="17"/>
        <v>0</v>
      </c>
      <c r="I105" s="54"/>
      <c r="J105" s="124">
        <f t="shared" si="18"/>
        <v>0</v>
      </c>
    </row>
    <row r="106" spans="1:10" ht="15.75" outlineLevel="2">
      <c r="A106" s="52" t="s">
        <v>767</v>
      </c>
      <c r="B106" s="53" t="s">
        <v>108</v>
      </c>
      <c r="C106" s="169" t="s">
        <v>334</v>
      </c>
      <c r="D106" s="113">
        <v>28.63</v>
      </c>
      <c r="E106" s="111"/>
      <c r="F106" s="113">
        <f t="shared" si="10"/>
        <v>0</v>
      </c>
      <c r="G106" s="113">
        <f t="shared" si="16"/>
        <v>0</v>
      </c>
      <c r="H106" s="224">
        <f t="shared" si="17"/>
        <v>0</v>
      </c>
      <c r="I106" s="54"/>
      <c r="J106" s="124">
        <f t="shared" si="18"/>
        <v>0</v>
      </c>
    </row>
    <row r="107" spans="1:10" ht="15.75" outlineLevel="2">
      <c r="A107" s="52" t="s">
        <v>768</v>
      </c>
      <c r="B107" s="53" t="s">
        <v>36</v>
      </c>
      <c r="C107" s="169" t="s">
        <v>334</v>
      </c>
      <c r="D107" s="113">
        <v>28.63</v>
      </c>
      <c r="E107" s="111"/>
      <c r="F107" s="113">
        <f t="shared" si="10"/>
        <v>0</v>
      </c>
      <c r="G107" s="113">
        <f t="shared" si="16"/>
        <v>0</v>
      </c>
      <c r="H107" s="224">
        <f t="shared" si="17"/>
        <v>0</v>
      </c>
      <c r="I107" s="54"/>
      <c r="J107" s="124">
        <f t="shared" si="18"/>
        <v>0</v>
      </c>
    </row>
    <row r="108" spans="1:10" ht="15.75" outlineLevel="2">
      <c r="A108" s="52" t="s">
        <v>769</v>
      </c>
      <c r="B108" s="53" t="s">
        <v>737</v>
      </c>
      <c r="C108" s="169" t="s">
        <v>3</v>
      </c>
      <c r="D108" s="113">
        <v>154.86</v>
      </c>
      <c r="E108" s="111"/>
      <c r="F108" s="113">
        <f t="shared" si="10"/>
        <v>0</v>
      </c>
      <c r="G108" s="113">
        <f>+E108+F108</f>
        <v>0</v>
      </c>
      <c r="H108" s="224">
        <f>D108*G108</f>
        <v>0</v>
      </c>
      <c r="I108" s="54"/>
      <c r="J108" s="124">
        <f aca="true" t="shared" si="19" ref="J108:J124">+D108*G108</f>
        <v>0</v>
      </c>
    </row>
    <row r="109" spans="1:10" s="261" customFormat="1" ht="15" outlineLevel="2">
      <c r="A109" s="254"/>
      <c r="B109" s="255"/>
      <c r="C109" s="256"/>
      <c r="D109" s="257"/>
      <c r="E109" s="257"/>
      <c r="F109" s="257">
        <f t="shared" si="10"/>
        <v>0</v>
      </c>
      <c r="G109" s="257">
        <f>+E109+F109</f>
        <v>0</v>
      </c>
      <c r="H109" s="258">
        <v>0</v>
      </c>
      <c r="I109" s="259"/>
      <c r="J109" s="260">
        <f t="shared" si="19"/>
        <v>0</v>
      </c>
    </row>
    <row r="110" spans="1:10" s="119" customFormat="1" ht="15.75" outlineLevel="1">
      <c r="A110" s="50" t="s">
        <v>522</v>
      </c>
      <c r="B110" s="151" t="s">
        <v>1012</v>
      </c>
      <c r="C110" s="168"/>
      <c r="D110" s="118"/>
      <c r="E110" s="118"/>
      <c r="F110" s="118">
        <f aca="true" t="shared" si="20" ref="F110:F143">+E110*$H$7</f>
        <v>0</v>
      </c>
      <c r="G110" s="118">
        <f>+E110+F110</f>
        <v>0</v>
      </c>
      <c r="H110" s="220">
        <f>SUBTOTAL(9,H111:H124)</f>
        <v>0</v>
      </c>
      <c r="I110" s="120"/>
      <c r="J110" s="124">
        <f t="shared" si="19"/>
        <v>0</v>
      </c>
    </row>
    <row r="111" spans="1:10" ht="15.75" outlineLevel="2">
      <c r="A111" s="52" t="s">
        <v>523</v>
      </c>
      <c r="B111" s="53" t="s">
        <v>733</v>
      </c>
      <c r="C111" s="169" t="s">
        <v>334</v>
      </c>
      <c r="D111" s="113">
        <v>294.53</v>
      </c>
      <c r="E111" s="111"/>
      <c r="F111" s="113">
        <f t="shared" si="20"/>
        <v>0</v>
      </c>
      <c r="G111" s="113">
        <f aca="true" t="shared" si="21" ref="G111:G123">+E111+F111</f>
        <v>0</v>
      </c>
      <c r="H111" s="224">
        <f aca="true" t="shared" si="22" ref="H111:H124">D111*G111</f>
        <v>0</v>
      </c>
      <c r="I111" s="54"/>
      <c r="J111" s="124">
        <f t="shared" si="19"/>
        <v>0</v>
      </c>
    </row>
    <row r="112" spans="1:10" ht="15.75" outlineLevel="2">
      <c r="A112" s="52" t="s">
        <v>524</v>
      </c>
      <c r="B112" s="53" t="s">
        <v>75</v>
      </c>
      <c r="C112" s="169" t="s">
        <v>334</v>
      </c>
      <c r="D112" s="113">
        <v>154.2</v>
      </c>
      <c r="E112" s="111"/>
      <c r="F112" s="113">
        <f t="shared" si="20"/>
        <v>0</v>
      </c>
      <c r="G112" s="113">
        <f t="shared" si="21"/>
        <v>0</v>
      </c>
      <c r="H112" s="224">
        <f t="shared" si="22"/>
        <v>0</v>
      </c>
      <c r="I112" s="54"/>
      <c r="J112" s="124">
        <f t="shared" si="19"/>
        <v>0</v>
      </c>
    </row>
    <row r="113" spans="1:10" ht="15.75" outlineLevel="2">
      <c r="A113" s="52" t="s">
        <v>525</v>
      </c>
      <c r="B113" s="53" t="s">
        <v>193</v>
      </c>
      <c r="C113" s="169" t="s">
        <v>334</v>
      </c>
      <c r="D113" s="113">
        <v>189.43</v>
      </c>
      <c r="E113" s="111"/>
      <c r="F113" s="113">
        <f t="shared" si="20"/>
        <v>0</v>
      </c>
      <c r="G113" s="113">
        <f t="shared" si="21"/>
        <v>0</v>
      </c>
      <c r="H113" s="224">
        <f t="shared" si="22"/>
        <v>0</v>
      </c>
      <c r="I113" s="54"/>
      <c r="J113" s="124">
        <f t="shared" si="19"/>
        <v>0</v>
      </c>
    </row>
    <row r="114" spans="1:10" ht="31.5" outlineLevel="2">
      <c r="A114" s="52" t="s">
        <v>526</v>
      </c>
      <c r="B114" s="53" t="s">
        <v>86</v>
      </c>
      <c r="C114" s="169" t="s">
        <v>334</v>
      </c>
      <c r="D114" s="113">
        <v>189.43</v>
      </c>
      <c r="E114" s="111"/>
      <c r="F114" s="113">
        <f t="shared" si="20"/>
        <v>0</v>
      </c>
      <c r="G114" s="113">
        <f t="shared" si="21"/>
        <v>0</v>
      </c>
      <c r="H114" s="224">
        <f t="shared" si="22"/>
        <v>0</v>
      </c>
      <c r="I114" s="54"/>
      <c r="J114" s="124">
        <f t="shared" si="19"/>
        <v>0</v>
      </c>
    </row>
    <row r="115" spans="1:10" ht="15.75" outlineLevel="2">
      <c r="A115" s="52" t="s">
        <v>741</v>
      </c>
      <c r="B115" s="53" t="s">
        <v>735</v>
      </c>
      <c r="C115" s="169" t="s">
        <v>334</v>
      </c>
      <c r="D115" s="113">
        <v>189.43</v>
      </c>
      <c r="E115" s="111"/>
      <c r="F115" s="113">
        <f t="shared" si="20"/>
        <v>0</v>
      </c>
      <c r="G115" s="113">
        <f t="shared" si="21"/>
        <v>0</v>
      </c>
      <c r="H115" s="224">
        <f t="shared" si="22"/>
        <v>0</v>
      </c>
      <c r="I115" s="54"/>
      <c r="J115" s="124">
        <f t="shared" si="19"/>
        <v>0</v>
      </c>
    </row>
    <row r="116" spans="1:10" ht="31.5" outlineLevel="2">
      <c r="A116" s="52" t="s">
        <v>742</v>
      </c>
      <c r="B116" s="53" t="s">
        <v>328</v>
      </c>
      <c r="C116" s="169" t="s">
        <v>3</v>
      </c>
      <c r="D116" s="113">
        <v>70</v>
      </c>
      <c r="E116" s="111"/>
      <c r="F116" s="113">
        <f t="shared" si="20"/>
        <v>0</v>
      </c>
      <c r="G116" s="113">
        <f t="shared" si="21"/>
        <v>0</v>
      </c>
      <c r="H116" s="224">
        <f t="shared" si="22"/>
        <v>0</v>
      </c>
      <c r="I116" s="54"/>
      <c r="J116" s="124">
        <f t="shared" si="19"/>
        <v>0</v>
      </c>
    </row>
    <row r="117" spans="1:10" ht="15.75" outlineLevel="2">
      <c r="A117" s="52" t="s">
        <v>743</v>
      </c>
      <c r="B117" s="53" t="s">
        <v>208</v>
      </c>
      <c r="C117" s="169" t="s">
        <v>334</v>
      </c>
      <c r="D117" s="113">
        <v>3.5</v>
      </c>
      <c r="E117" s="111"/>
      <c r="F117" s="113">
        <f t="shared" si="20"/>
        <v>0</v>
      </c>
      <c r="G117" s="113">
        <f t="shared" si="21"/>
        <v>0</v>
      </c>
      <c r="H117" s="224">
        <f t="shared" si="22"/>
        <v>0</v>
      </c>
      <c r="I117" s="54"/>
      <c r="J117" s="124">
        <f t="shared" si="19"/>
        <v>0</v>
      </c>
    </row>
    <row r="118" spans="1:10" ht="15.75" outlineLevel="2">
      <c r="A118" s="52" t="s">
        <v>744</v>
      </c>
      <c r="B118" s="53" t="s">
        <v>734</v>
      </c>
      <c r="C118" s="169" t="s">
        <v>3</v>
      </c>
      <c r="D118" s="113">
        <v>7.6</v>
      </c>
      <c r="E118" s="111"/>
      <c r="F118" s="113">
        <f t="shared" si="20"/>
        <v>0</v>
      </c>
      <c r="G118" s="113">
        <f t="shared" si="21"/>
        <v>0</v>
      </c>
      <c r="H118" s="224">
        <f t="shared" si="22"/>
        <v>0</v>
      </c>
      <c r="I118" s="54"/>
      <c r="J118" s="124">
        <f t="shared" si="19"/>
        <v>0</v>
      </c>
    </row>
    <row r="119" spans="1:10" ht="15.75" outlineLevel="2">
      <c r="A119" s="52" t="s">
        <v>745</v>
      </c>
      <c r="B119" s="53" t="s">
        <v>89</v>
      </c>
      <c r="C119" s="169" t="s">
        <v>3</v>
      </c>
      <c r="D119" s="113">
        <v>115.76</v>
      </c>
      <c r="E119" s="111"/>
      <c r="F119" s="113"/>
      <c r="G119" s="113"/>
      <c r="H119" s="224"/>
      <c r="I119" s="54"/>
      <c r="J119" s="124"/>
    </row>
    <row r="120" spans="1:10" ht="15.75" outlineLevel="2">
      <c r="A120" s="52" t="s">
        <v>746</v>
      </c>
      <c r="B120" s="53" t="s">
        <v>76</v>
      </c>
      <c r="C120" s="169" t="s">
        <v>99</v>
      </c>
      <c r="D120" s="113">
        <v>2689.1</v>
      </c>
      <c r="E120" s="111"/>
      <c r="F120" s="113">
        <f t="shared" si="20"/>
        <v>0</v>
      </c>
      <c r="G120" s="113">
        <f t="shared" si="21"/>
        <v>0</v>
      </c>
      <c r="H120" s="224">
        <f t="shared" si="22"/>
        <v>0</v>
      </c>
      <c r="I120" s="54"/>
      <c r="J120" s="124">
        <f t="shared" si="19"/>
        <v>0</v>
      </c>
    </row>
    <row r="121" spans="1:10" ht="15.75" outlineLevel="2">
      <c r="A121" s="52" t="s">
        <v>747</v>
      </c>
      <c r="B121" s="53" t="s">
        <v>1396</v>
      </c>
      <c r="C121" s="169" t="s">
        <v>99</v>
      </c>
      <c r="D121" s="113">
        <v>28.8</v>
      </c>
      <c r="E121" s="111"/>
      <c r="F121" s="113"/>
      <c r="G121" s="113"/>
      <c r="H121" s="224"/>
      <c r="I121" s="54"/>
      <c r="J121" s="124"/>
    </row>
    <row r="122" spans="1:10" ht="15.75" outlineLevel="2">
      <c r="A122" s="52" t="s">
        <v>1339</v>
      </c>
      <c r="B122" s="53" t="s">
        <v>108</v>
      </c>
      <c r="C122" s="169" t="s">
        <v>334</v>
      </c>
      <c r="D122" s="113">
        <v>38.23</v>
      </c>
      <c r="E122" s="111"/>
      <c r="F122" s="113">
        <f t="shared" si="20"/>
        <v>0</v>
      </c>
      <c r="G122" s="113">
        <f t="shared" si="21"/>
        <v>0</v>
      </c>
      <c r="H122" s="224">
        <f t="shared" si="22"/>
        <v>0</v>
      </c>
      <c r="I122" s="54"/>
      <c r="J122" s="124">
        <f t="shared" si="19"/>
        <v>0</v>
      </c>
    </row>
    <row r="123" spans="1:10" ht="15.75" outlineLevel="2">
      <c r="A123" s="52" t="s">
        <v>1397</v>
      </c>
      <c r="B123" s="53" t="s">
        <v>36</v>
      </c>
      <c r="C123" s="169" t="s">
        <v>334</v>
      </c>
      <c r="D123" s="113">
        <v>38.23</v>
      </c>
      <c r="E123" s="111"/>
      <c r="F123" s="113">
        <f t="shared" si="20"/>
        <v>0</v>
      </c>
      <c r="G123" s="113">
        <f t="shared" si="21"/>
        <v>0</v>
      </c>
      <c r="H123" s="224">
        <f t="shared" si="22"/>
        <v>0</v>
      </c>
      <c r="I123" s="54"/>
      <c r="J123" s="124">
        <f t="shared" si="19"/>
        <v>0</v>
      </c>
    </row>
    <row r="124" spans="1:10" ht="15.75" outlineLevel="2">
      <c r="A124" s="52" t="s">
        <v>1398</v>
      </c>
      <c r="B124" s="247" t="s">
        <v>737</v>
      </c>
      <c r="C124" s="169" t="s">
        <v>3</v>
      </c>
      <c r="D124" s="113">
        <v>216.54</v>
      </c>
      <c r="E124" s="113"/>
      <c r="F124" s="113">
        <f t="shared" si="20"/>
        <v>0</v>
      </c>
      <c r="G124" s="113">
        <f>+E124+F124</f>
        <v>0</v>
      </c>
      <c r="H124" s="224">
        <f t="shared" si="22"/>
        <v>0</v>
      </c>
      <c r="I124" s="54"/>
      <c r="J124" s="124">
        <f t="shared" si="19"/>
        <v>0</v>
      </c>
    </row>
    <row r="125" spans="1:10" ht="15.75" outlineLevel="2">
      <c r="A125" s="52" t="s">
        <v>1421</v>
      </c>
      <c r="B125" s="247" t="s">
        <v>1418</v>
      </c>
      <c r="C125" s="248" t="s">
        <v>3</v>
      </c>
      <c r="D125" s="262">
        <v>103.75</v>
      </c>
      <c r="E125" s="113"/>
      <c r="F125" s="113"/>
      <c r="G125" s="113"/>
      <c r="H125" s="224"/>
      <c r="I125" s="54"/>
      <c r="J125" s="124"/>
    </row>
    <row r="126" spans="1:10" ht="15.75" outlineLevel="2">
      <c r="A126" s="52" t="s">
        <v>1422</v>
      </c>
      <c r="B126" s="247" t="s">
        <v>1419</v>
      </c>
      <c r="C126" s="169" t="s">
        <v>1420</v>
      </c>
      <c r="D126" s="113">
        <v>1</v>
      </c>
      <c r="E126" s="113"/>
      <c r="F126" s="113"/>
      <c r="G126" s="113"/>
      <c r="H126" s="224"/>
      <c r="I126" s="54"/>
      <c r="J126" s="124"/>
    </row>
    <row r="127" spans="1:10" s="119" customFormat="1" ht="15.75" outlineLevel="1">
      <c r="A127" s="50" t="s">
        <v>527</v>
      </c>
      <c r="B127" s="151" t="s">
        <v>774</v>
      </c>
      <c r="C127" s="168"/>
      <c r="D127" s="118"/>
      <c r="E127" s="118"/>
      <c r="F127" s="118">
        <f t="shared" si="20"/>
        <v>0</v>
      </c>
      <c r="G127" s="118">
        <f>+E127+F127</f>
        <v>0</v>
      </c>
      <c r="H127" s="220">
        <f>SUBTOTAL(9,H128:H141)</f>
        <v>0</v>
      </c>
      <c r="I127" s="120"/>
      <c r="J127" s="124">
        <f aca="true" t="shared" si="23" ref="J127:J141">+D127*G127</f>
        <v>0</v>
      </c>
    </row>
    <row r="128" spans="1:10" ht="15.75" outlineLevel="2">
      <c r="A128" s="52" t="s">
        <v>528</v>
      </c>
      <c r="B128" s="53" t="s">
        <v>733</v>
      </c>
      <c r="C128" s="169" t="s">
        <v>334</v>
      </c>
      <c r="D128" s="113">
        <v>439.4</v>
      </c>
      <c r="E128" s="111"/>
      <c r="F128" s="113">
        <f t="shared" si="20"/>
        <v>0</v>
      </c>
      <c r="G128" s="113">
        <f aca="true" t="shared" si="24" ref="G128:G141">+E128+F128</f>
        <v>0</v>
      </c>
      <c r="H128" s="224">
        <f aca="true" t="shared" si="25" ref="H128:H141">D128*G128</f>
        <v>0</v>
      </c>
      <c r="I128" s="54"/>
      <c r="J128" s="124">
        <f t="shared" si="23"/>
        <v>0</v>
      </c>
    </row>
    <row r="129" spans="1:10" ht="15.75" outlineLevel="2">
      <c r="A129" s="52" t="s">
        <v>529</v>
      </c>
      <c r="B129" s="53" t="s">
        <v>75</v>
      </c>
      <c r="C129" s="169" t="s">
        <v>334</v>
      </c>
      <c r="D129" s="113">
        <v>236.06</v>
      </c>
      <c r="E129" s="111"/>
      <c r="F129" s="113">
        <f t="shared" si="20"/>
        <v>0</v>
      </c>
      <c r="G129" s="113">
        <f t="shared" si="24"/>
        <v>0</v>
      </c>
      <c r="H129" s="224">
        <f t="shared" si="25"/>
        <v>0</v>
      </c>
      <c r="I129" s="54"/>
      <c r="J129" s="124">
        <f t="shared" si="23"/>
        <v>0</v>
      </c>
    </row>
    <row r="130" spans="1:10" ht="15.75" outlineLevel="2">
      <c r="A130" s="52" t="s">
        <v>530</v>
      </c>
      <c r="B130" s="53" t="s">
        <v>193</v>
      </c>
      <c r="C130" s="169" t="s">
        <v>334</v>
      </c>
      <c r="D130" s="113">
        <v>274.51</v>
      </c>
      <c r="E130" s="111"/>
      <c r="F130" s="113">
        <f t="shared" si="20"/>
        <v>0</v>
      </c>
      <c r="G130" s="113">
        <f t="shared" si="24"/>
        <v>0</v>
      </c>
      <c r="H130" s="224">
        <f t="shared" si="25"/>
        <v>0</v>
      </c>
      <c r="I130" s="54"/>
      <c r="J130" s="124">
        <f t="shared" si="23"/>
        <v>0</v>
      </c>
    </row>
    <row r="131" spans="1:10" ht="31.5" outlineLevel="2">
      <c r="A131" s="52" t="s">
        <v>531</v>
      </c>
      <c r="B131" s="53" t="s">
        <v>86</v>
      </c>
      <c r="C131" s="169" t="s">
        <v>334</v>
      </c>
      <c r="D131" s="113">
        <v>274.51</v>
      </c>
      <c r="E131" s="111"/>
      <c r="F131" s="113"/>
      <c r="G131" s="113"/>
      <c r="H131" s="224"/>
      <c r="I131" s="54"/>
      <c r="J131" s="124"/>
    </row>
    <row r="132" spans="1:10" ht="15.75" outlineLevel="2">
      <c r="A132" s="52" t="s">
        <v>748</v>
      </c>
      <c r="B132" s="53" t="s">
        <v>735</v>
      </c>
      <c r="C132" s="169" t="s">
        <v>334</v>
      </c>
      <c r="D132" s="113">
        <f>+D130</f>
        <v>274.51</v>
      </c>
      <c r="E132" s="111"/>
      <c r="F132" s="113">
        <f t="shared" si="20"/>
        <v>0</v>
      </c>
      <c r="G132" s="113">
        <f t="shared" si="24"/>
        <v>0</v>
      </c>
      <c r="H132" s="224">
        <f t="shared" si="25"/>
        <v>0</v>
      </c>
      <c r="I132" s="54"/>
      <c r="J132" s="124">
        <f t="shared" si="23"/>
        <v>0</v>
      </c>
    </row>
    <row r="133" spans="1:10" ht="31.5" outlineLevel="2">
      <c r="A133" s="52" t="s">
        <v>749</v>
      </c>
      <c r="B133" s="53" t="s">
        <v>328</v>
      </c>
      <c r="C133" s="169" t="s">
        <v>3</v>
      </c>
      <c r="D133" s="113">
        <v>70</v>
      </c>
      <c r="E133" s="111"/>
      <c r="F133" s="113">
        <f t="shared" si="20"/>
        <v>0</v>
      </c>
      <c r="G133" s="113">
        <f t="shared" si="24"/>
        <v>0</v>
      </c>
      <c r="H133" s="224">
        <f t="shared" si="25"/>
        <v>0</v>
      </c>
      <c r="I133" s="54"/>
      <c r="J133" s="124">
        <f t="shared" si="23"/>
        <v>0</v>
      </c>
    </row>
    <row r="134" spans="1:10" ht="15.75" outlineLevel="2">
      <c r="A134" s="52" t="s">
        <v>750</v>
      </c>
      <c r="B134" s="53" t="s">
        <v>208</v>
      </c>
      <c r="C134" s="169" t="s">
        <v>334</v>
      </c>
      <c r="D134" s="113">
        <v>3.5</v>
      </c>
      <c r="E134" s="111"/>
      <c r="F134" s="113">
        <f t="shared" si="20"/>
        <v>0</v>
      </c>
      <c r="G134" s="113">
        <f t="shared" si="24"/>
        <v>0</v>
      </c>
      <c r="H134" s="224">
        <f t="shared" si="25"/>
        <v>0</v>
      </c>
      <c r="I134" s="54"/>
      <c r="J134" s="124">
        <f t="shared" si="23"/>
        <v>0</v>
      </c>
    </row>
    <row r="135" spans="1:10" ht="15.75" outlineLevel="2">
      <c r="A135" s="52" t="s">
        <v>751</v>
      </c>
      <c r="B135" s="53" t="s">
        <v>734</v>
      </c>
      <c r="C135" s="169" t="s">
        <v>3</v>
      </c>
      <c r="D135" s="113">
        <v>6.8</v>
      </c>
      <c r="E135" s="111"/>
      <c r="F135" s="113">
        <f t="shared" si="20"/>
        <v>0</v>
      </c>
      <c r="G135" s="113">
        <f t="shared" si="24"/>
        <v>0</v>
      </c>
      <c r="H135" s="224">
        <f t="shared" si="25"/>
        <v>0</v>
      </c>
      <c r="I135" s="54"/>
      <c r="J135" s="124">
        <f t="shared" si="23"/>
        <v>0</v>
      </c>
    </row>
    <row r="136" spans="1:10" ht="15.75" outlineLevel="2">
      <c r="A136" s="52" t="s">
        <v>752</v>
      </c>
      <c r="B136" s="53" t="s">
        <v>89</v>
      </c>
      <c r="C136" s="169" t="s">
        <v>3</v>
      </c>
      <c r="D136" s="113">
        <v>243.98</v>
      </c>
      <c r="E136" s="111"/>
      <c r="F136" s="113">
        <f t="shared" si="20"/>
        <v>0</v>
      </c>
      <c r="G136" s="113">
        <f t="shared" si="24"/>
        <v>0</v>
      </c>
      <c r="H136" s="224">
        <f t="shared" si="25"/>
        <v>0</v>
      </c>
      <c r="I136" s="54"/>
      <c r="J136" s="124">
        <f t="shared" si="23"/>
        <v>0</v>
      </c>
    </row>
    <row r="137" spans="1:10" ht="15.75" outlineLevel="2">
      <c r="A137" s="52" t="s">
        <v>753</v>
      </c>
      <c r="B137" s="53" t="s">
        <v>76</v>
      </c>
      <c r="C137" s="169" t="s">
        <v>99</v>
      </c>
      <c r="D137" s="113">
        <v>3809.5</v>
      </c>
      <c r="E137" s="111"/>
      <c r="F137" s="113">
        <f t="shared" si="20"/>
        <v>0</v>
      </c>
      <c r="G137" s="113">
        <f t="shared" si="24"/>
        <v>0</v>
      </c>
      <c r="H137" s="224">
        <f t="shared" si="25"/>
        <v>0</v>
      </c>
      <c r="I137" s="54"/>
      <c r="J137" s="124">
        <f t="shared" si="23"/>
        <v>0</v>
      </c>
    </row>
    <row r="138" spans="1:10" ht="15.75" outlineLevel="2">
      <c r="A138" s="52" t="s">
        <v>754</v>
      </c>
      <c r="B138" s="53" t="s">
        <v>108</v>
      </c>
      <c r="C138" s="169" t="s">
        <v>334</v>
      </c>
      <c r="D138" s="113">
        <v>43.22</v>
      </c>
      <c r="E138" s="111"/>
      <c r="F138" s="113">
        <f t="shared" si="20"/>
        <v>0</v>
      </c>
      <c r="G138" s="113">
        <f t="shared" si="24"/>
        <v>0</v>
      </c>
      <c r="H138" s="224">
        <f t="shared" si="25"/>
        <v>0</v>
      </c>
      <c r="I138" s="54"/>
      <c r="J138" s="124">
        <f t="shared" si="23"/>
        <v>0</v>
      </c>
    </row>
    <row r="139" spans="1:10" ht="15.75" outlineLevel="2">
      <c r="A139" s="52" t="s">
        <v>755</v>
      </c>
      <c r="B139" s="53" t="s">
        <v>36</v>
      </c>
      <c r="C139" s="169" t="s">
        <v>334</v>
      </c>
      <c r="D139" s="113">
        <f>+D138</f>
        <v>43.22</v>
      </c>
      <c r="E139" s="111"/>
      <c r="F139" s="113">
        <f t="shared" si="20"/>
        <v>0</v>
      </c>
      <c r="G139" s="113">
        <f t="shared" si="24"/>
        <v>0</v>
      </c>
      <c r="H139" s="224">
        <f t="shared" si="25"/>
        <v>0</v>
      </c>
      <c r="I139" s="54"/>
      <c r="J139" s="124">
        <f t="shared" si="23"/>
        <v>0</v>
      </c>
    </row>
    <row r="140" spans="1:10" ht="15.75" outlineLevel="2">
      <c r="A140" s="52" t="s">
        <v>756</v>
      </c>
      <c r="B140" s="53" t="s">
        <v>737</v>
      </c>
      <c r="C140" s="169" t="s">
        <v>3</v>
      </c>
      <c r="D140" s="113">
        <v>236.97</v>
      </c>
      <c r="E140" s="111"/>
      <c r="F140" s="113">
        <f t="shared" si="20"/>
        <v>0</v>
      </c>
      <c r="G140" s="113">
        <f t="shared" si="24"/>
        <v>0</v>
      </c>
      <c r="H140" s="224">
        <f t="shared" si="25"/>
        <v>0</v>
      </c>
      <c r="I140" s="54"/>
      <c r="J140" s="124">
        <f t="shared" si="23"/>
        <v>0</v>
      </c>
    </row>
    <row r="141" spans="1:10" ht="15.75" outlineLevel="2">
      <c r="A141" s="52" t="s">
        <v>757</v>
      </c>
      <c r="B141" s="53" t="s">
        <v>738</v>
      </c>
      <c r="C141" s="169" t="s">
        <v>3</v>
      </c>
      <c r="D141" s="113">
        <v>1</v>
      </c>
      <c r="E141" s="111"/>
      <c r="F141" s="113">
        <f t="shared" si="20"/>
        <v>0</v>
      </c>
      <c r="G141" s="113">
        <f t="shared" si="24"/>
        <v>0</v>
      </c>
      <c r="H141" s="224">
        <f t="shared" si="25"/>
        <v>0</v>
      </c>
      <c r="I141" s="54"/>
      <c r="J141" s="124">
        <f t="shared" si="23"/>
        <v>0</v>
      </c>
    </row>
    <row r="142" spans="1:10" ht="15.75" outlineLevel="2">
      <c r="A142" s="52"/>
      <c r="B142" s="58"/>
      <c r="C142" s="173"/>
      <c r="D142" s="113"/>
      <c r="E142" s="113"/>
      <c r="F142" s="113">
        <f t="shared" si="20"/>
        <v>0</v>
      </c>
      <c r="G142" s="113">
        <f>+E142+F142</f>
        <v>0</v>
      </c>
      <c r="H142" s="224">
        <v>0</v>
      </c>
      <c r="I142" s="54"/>
      <c r="J142" s="124">
        <f aca="true" t="shared" si="26" ref="J142:J156">+D142*G142</f>
        <v>0</v>
      </c>
    </row>
    <row r="143" spans="1:10" s="119" customFormat="1" ht="15.75" outlineLevel="1">
      <c r="A143" s="50" t="s">
        <v>532</v>
      </c>
      <c r="B143" s="151" t="s">
        <v>782</v>
      </c>
      <c r="C143" s="168"/>
      <c r="D143" s="118"/>
      <c r="E143" s="118"/>
      <c r="F143" s="118">
        <f t="shared" si="20"/>
        <v>0</v>
      </c>
      <c r="G143" s="118">
        <f>+E143+F143</f>
        <v>0</v>
      </c>
      <c r="H143" s="220">
        <f>SUBTOTAL(9,H144:H156)</f>
        <v>0</v>
      </c>
      <c r="I143" s="120"/>
      <c r="J143" s="124">
        <f t="shared" si="26"/>
        <v>0</v>
      </c>
    </row>
    <row r="144" spans="1:10" ht="15.75" outlineLevel="2">
      <c r="A144" s="52" t="s">
        <v>1399</v>
      </c>
      <c r="B144" s="53" t="s">
        <v>74</v>
      </c>
      <c r="C144" s="169" t="s">
        <v>334</v>
      </c>
      <c r="D144" s="113">
        <v>107.16</v>
      </c>
      <c r="E144" s="111"/>
      <c r="F144" s="113">
        <f aca="true" t="shared" si="27" ref="F144:F182">+E144*$H$7</f>
        <v>0</v>
      </c>
      <c r="G144" s="113">
        <f aca="true" t="shared" si="28" ref="G144:G157">+E144+F144</f>
        <v>0</v>
      </c>
      <c r="H144" s="224">
        <f aca="true" t="shared" si="29" ref="H144:H156">D144*G144</f>
        <v>0</v>
      </c>
      <c r="I144" s="54"/>
      <c r="J144" s="124">
        <f t="shared" si="26"/>
        <v>0</v>
      </c>
    </row>
    <row r="145" spans="1:10" ht="15.75" outlineLevel="2">
      <c r="A145" s="52" t="s">
        <v>1400</v>
      </c>
      <c r="B145" s="53" t="s">
        <v>75</v>
      </c>
      <c r="C145" s="169" t="s">
        <v>334</v>
      </c>
      <c r="D145" s="113">
        <v>59.96</v>
      </c>
      <c r="E145" s="111"/>
      <c r="F145" s="113">
        <f t="shared" si="27"/>
        <v>0</v>
      </c>
      <c r="G145" s="113">
        <f t="shared" si="28"/>
        <v>0</v>
      </c>
      <c r="H145" s="224">
        <f t="shared" si="29"/>
        <v>0</v>
      </c>
      <c r="I145" s="54"/>
      <c r="J145" s="124">
        <f t="shared" si="26"/>
        <v>0</v>
      </c>
    </row>
    <row r="146" spans="1:10" ht="15.75" outlineLevel="2">
      <c r="A146" s="52" t="s">
        <v>1401</v>
      </c>
      <c r="B146" s="53" t="s">
        <v>193</v>
      </c>
      <c r="C146" s="169" t="s">
        <v>334</v>
      </c>
      <c r="D146" s="113">
        <v>63.71</v>
      </c>
      <c r="E146" s="111"/>
      <c r="F146" s="113">
        <f t="shared" si="27"/>
        <v>0</v>
      </c>
      <c r="G146" s="113">
        <f t="shared" si="28"/>
        <v>0</v>
      </c>
      <c r="H146" s="224">
        <f t="shared" si="29"/>
        <v>0</v>
      </c>
      <c r="I146" s="54"/>
      <c r="J146" s="124">
        <f t="shared" si="26"/>
        <v>0</v>
      </c>
    </row>
    <row r="147" spans="1:10" ht="31.5" outlineLevel="2">
      <c r="A147" s="52" t="s">
        <v>1402</v>
      </c>
      <c r="B147" s="53" t="s">
        <v>86</v>
      </c>
      <c r="C147" s="169" t="s">
        <v>334</v>
      </c>
      <c r="D147" s="113">
        <v>63.71</v>
      </c>
      <c r="E147" s="111"/>
      <c r="F147" s="113"/>
      <c r="G147" s="113"/>
      <c r="H147" s="224"/>
      <c r="I147" s="54"/>
      <c r="J147" s="124"/>
    </row>
    <row r="148" spans="1:10" ht="15.75" outlineLevel="2">
      <c r="A148" s="52" t="s">
        <v>1403</v>
      </c>
      <c r="B148" s="53" t="s">
        <v>735</v>
      </c>
      <c r="C148" s="169" t="s">
        <v>334</v>
      </c>
      <c r="D148" s="113">
        <v>63.71</v>
      </c>
      <c r="E148" s="111"/>
      <c r="F148" s="113">
        <f t="shared" si="27"/>
        <v>0</v>
      </c>
      <c r="G148" s="113">
        <f t="shared" si="28"/>
        <v>0</v>
      </c>
      <c r="H148" s="224">
        <f t="shared" si="29"/>
        <v>0</v>
      </c>
      <c r="I148" s="54"/>
      <c r="J148" s="124">
        <f t="shared" si="26"/>
        <v>0</v>
      </c>
    </row>
    <row r="149" spans="1:10" ht="31.5" outlineLevel="2">
      <c r="A149" s="52" t="s">
        <v>1404</v>
      </c>
      <c r="B149" s="53" t="s">
        <v>328</v>
      </c>
      <c r="C149" s="169" t="s">
        <v>3</v>
      </c>
      <c r="D149" s="113">
        <v>23.6</v>
      </c>
      <c r="E149" s="111"/>
      <c r="F149" s="113">
        <f t="shared" si="27"/>
        <v>0</v>
      </c>
      <c r="G149" s="113">
        <f t="shared" si="28"/>
        <v>0</v>
      </c>
      <c r="H149" s="224">
        <f t="shared" si="29"/>
        <v>0</v>
      </c>
      <c r="I149" s="54"/>
      <c r="J149" s="124">
        <f t="shared" si="26"/>
        <v>0</v>
      </c>
    </row>
    <row r="150" spans="1:10" ht="15.75" outlineLevel="2">
      <c r="A150" s="52" t="s">
        <v>1405</v>
      </c>
      <c r="B150" s="53" t="s">
        <v>208</v>
      </c>
      <c r="C150" s="169" t="s">
        <v>334</v>
      </c>
      <c r="D150" s="113">
        <v>1.18</v>
      </c>
      <c r="E150" s="111"/>
      <c r="F150" s="113">
        <f t="shared" si="27"/>
        <v>0</v>
      </c>
      <c r="G150" s="113">
        <f t="shared" si="28"/>
        <v>0</v>
      </c>
      <c r="H150" s="224">
        <f t="shared" si="29"/>
        <v>0</v>
      </c>
      <c r="I150" s="54"/>
      <c r="J150" s="124">
        <f t="shared" si="26"/>
        <v>0</v>
      </c>
    </row>
    <row r="151" spans="1:10" ht="15.75" outlineLevel="2">
      <c r="A151" s="52" t="s">
        <v>1406</v>
      </c>
      <c r="B151" s="53" t="s">
        <v>734</v>
      </c>
      <c r="C151" s="169" t="s">
        <v>3</v>
      </c>
      <c r="D151" s="113">
        <v>5.5</v>
      </c>
      <c r="E151" s="111"/>
      <c r="F151" s="113">
        <f t="shared" si="27"/>
        <v>0</v>
      </c>
      <c r="G151" s="113">
        <f t="shared" si="28"/>
        <v>0</v>
      </c>
      <c r="H151" s="224">
        <f t="shared" si="29"/>
        <v>0</v>
      </c>
      <c r="I151" s="54"/>
      <c r="J151" s="124">
        <f t="shared" si="26"/>
        <v>0</v>
      </c>
    </row>
    <row r="152" spans="1:10" ht="15.75" outlineLevel="2">
      <c r="A152" s="52" t="s">
        <v>1407</v>
      </c>
      <c r="B152" s="53" t="s">
        <v>89</v>
      </c>
      <c r="C152" s="169" t="s">
        <v>3</v>
      </c>
      <c r="D152" s="113">
        <v>87.52</v>
      </c>
      <c r="E152" s="111"/>
      <c r="F152" s="113">
        <f t="shared" si="27"/>
        <v>0</v>
      </c>
      <c r="G152" s="113">
        <f t="shared" si="28"/>
        <v>0</v>
      </c>
      <c r="H152" s="224">
        <f t="shared" si="29"/>
        <v>0</v>
      </c>
      <c r="I152" s="54"/>
      <c r="J152" s="124">
        <f t="shared" si="26"/>
        <v>0</v>
      </c>
    </row>
    <row r="153" spans="1:10" ht="15.75" outlineLevel="2">
      <c r="A153" s="52" t="s">
        <v>1408</v>
      </c>
      <c r="B153" s="53" t="s">
        <v>76</v>
      </c>
      <c r="C153" s="169" t="s">
        <v>99</v>
      </c>
      <c r="D153" s="113">
        <v>1217.6</v>
      </c>
      <c r="E153" s="111"/>
      <c r="F153" s="113">
        <f t="shared" si="27"/>
        <v>0</v>
      </c>
      <c r="G153" s="113">
        <f t="shared" si="28"/>
        <v>0</v>
      </c>
      <c r="H153" s="224">
        <f t="shared" si="29"/>
        <v>0</v>
      </c>
      <c r="I153" s="54"/>
      <c r="J153" s="124">
        <f t="shared" si="26"/>
        <v>0</v>
      </c>
    </row>
    <row r="154" spans="1:10" ht="15.75" outlineLevel="2">
      <c r="A154" s="52" t="s">
        <v>1409</v>
      </c>
      <c r="B154" s="53" t="s">
        <v>108</v>
      </c>
      <c r="C154" s="169" t="s">
        <v>334</v>
      </c>
      <c r="D154" s="113">
        <v>13.47</v>
      </c>
      <c r="E154" s="111"/>
      <c r="F154" s="113">
        <f t="shared" si="27"/>
        <v>0</v>
      </c>
      <c r="G154" s="113">
        <f t="shared" si="28"/>
        <v>0</v>
      </c>
      <c r="H154" s="224">
        <f t="shared" si="29"/>
        <v>0</v>
      </c>
      <c r="I154" s="54"/>
      <c r="J154" s="124">
        <f t="shared" si="26"/>
        <v>0</v>
      </c>
    </row>
    <row r="155" spans="1:10" ht="15.75" outlineLevel="2">
      <c r="A155" s="52" t="s">
        <v>1410</v>
      </c>
      <c r="B155" s="53" t="s">
        <v>36</v>
      </c>
      <c r="C155" s="169" t="s">
        <v>334</v>
      </c>
      <c r="D155" s="113">
        <f>+D154</f>
        <v>13.47</v>
      </c>
      <c r="E155" s="111"/>
      <c r="F155" s="113">
        <f t="shared" si="27"/>
        <v>0</v>
      </c>
      <c r="G155" s="113">
        <f t="shared" si="28"/>
        <v>0</v>
      </c>
      <c r="H155" s="224">
        <f t="shared" si="29"/>
        <v>0</v>
      </c>
      <c r="I155" s="54"/>
      <c r="J155" s="124">
        <f t="shared" si="26"/>
        <v>0</v>
      </c>
    </row>
    <row r="156" spans="1:10" ht="15.75" outlineLevel="2">
      <c r="A156" s="52" t="s">
        <v>1411</v>
      </c>
      <c r="B156" s="53" t="s">
        <v>737</v>
      </c>
      <c r="C156" s="169" t="s">
        <v>3</v>
      </c>
      <c r="D156" s="113">
        <v>107.16</v>
      </c>
      <c r="E156" s="111"/>
      <c r="F156" s="113">
        <f t="shared" si="27"/>
        <v>0</v>
      </c>
      <c r="G156" s="113">
        <f t="shared" si="28"/>
        <v>0</v>
      </c>
      <c r="H156" s="224">
        <f t="shared" si="29"/>
        <v>0</v>
      </c>
      <c r="I156" s="54"/>
      <c r="J156" s="124">
        <f t="shared" si="26"/>
        <v>0</v>
      </c>
    </row>
    <row r="157" spans="1:10" ht="15.75">
      <c r="A157" s="52"/>
      <c r="B157" s="58"/>
      <c r="C157" s="173"/>
      <c r="D157" s="113"/>
      <c r="E157" s="113"/>
      <c r="F157" s="113">
        <f t="shared" si="27"/>
        <v>0</v>
      </c>
      <c r="G157" s="113">
        <f t="shared" si="28"/>
        <v>0</v>
      </c>
      <c r="H157" s="224">
        <v>0</v>
      </c>
      <c r="I157" s="54"/>
      <c r="J157" s="124">
        <f aca="true" t="shared" si="30" ref="J157:J181">+D157*G157</f>
        <v>0</v>
      </c>
    </row>
    <row r="158" spans="1:10" ht="15.75">
      <c r="A158" s="59" t="s">
        <v>775</v>
      </c>
      <c r="B158" s="60" t="s">
        <v>280</v>
      </c>
      <c r="C158" s="171">
        <v>0</v>
      </c>
      <c r="D158" s="112"/>
      <c r="E158" s="112"/>
      <c r="F158" s="112">
        <f t="shared" si="27"/>
        <v>0</v>
      </c>
      <c r="G158" s="112">
        <f aca="true" t="shared" si="31" ref="G158:G186">+E158+F158</f>
        <v>0</v>
      </c>
      <c r="H158" s="223">
        <f>SUBTOTAL(9,H159:H193)</f>
        <v>0</v>
      </c>
      <c r="I158" s="54"/>
      <c r="J158" s="124">
        <f t="shared" si="30"/>
        <v>0</v>
      </c>
    </row>
    <row r="159" spans="1:10" s="119" customFormat="1" ht="15.75" outlineLevel="1">
      <c r="A159" s="50" t="s">
        <v>538</v>
      </c>
      <c r="B159" s="117" t="s">
        <v>1364</v>
      </c>
      <c r="C159" s="172"/>
      <c r="D159" s="118"/>
      <c r="E159" s="118"/>
      <c r="F159" s="118">
        <f t="shared" si="27"/>
        <v>0</v>
      </c>
      <c r="G159" s="118">
        <f t="shared" si="31"/>
        <v>0</v>
      </c>
      <c r="H159" s="220">
        <f>SUBTOTAL(9,H160:H163)</f>
        <v>0</v>
      </c>
      <c r="I159" s="120"/>
      <c r="J159" s="124">
        <f t="shared" si="30"/>
        <v>0</v>
      </c>
    </row>
    <row r="160" spans="1:10" ht="15.75" outlineLevel="2">
      <c r="A160" s="57" t="s">
        <v>539</v>
      </c>
      <c r="B160" s="200" t="s">
        <v>89</v>
      </c>
      <c r="C160" s="248" t="s">
        <v>3</v>
      </c>
      <c r="D160" s="111">
        <v>963.82</v>
      </c>
      <c r="E160" s="111"/>
      <c r="F160" s="111">
        <f t="shared" si="27"/>
        <v>0</v>
      </c>
      <c r="G160" s="111">
        <f t="shared" si="31"/>
        <v>0</v>
      </c>
      <c r="H160" s="221">
        <f>D160*G160</f>
        <v>0</v>
      </c>
      <c r="I160" s="54"/>
      <c r="J160" s="124">
        <f t="shared" si="30"/>
        <v>0</v>
      </c>
    </row>
    <row r="161" spans="1:10" ht="15.75" outlineLevel="2">
      <c r="A161" s="56" t="s">
        <v>540</v>
      </c>
      <c r="B161" s="200" t="s">
        <v>1340</v>
      </c>
      <c r="C161" s="248" t="s">
        <v>99</v>
      </c>
      <c r="D161" s="111">
        <v>5685.14</v>
      </c>
      <c r="E161" s="111"/>
      <c r="F161" s="111">
        <f t="shared" si="27"/>
        <v>0</v>
      </c>
      <c r="G161" s="111">
        <f t="shared" si="31"/>
        <v>0</v>
      </c>
      <c r="H161" s="221">
        <f>D161*G161</f>
        <v>0</v>
      </c>
      <c r="I161" s="54"/>
      <c r="J161" s="124">
        <f t="shared" si="30"/>
        <v>0</v>
      </c>
    </row>
    <row r="162" spans="1:10" ht="24" customHeight="1" outlineLevel="2">
      <c r="A162" s="56" t="s">
        <v>814</v>
      </c>
      <c r="B162" s="200" t="s">
        <v>1341</v>
      </c>
      <c r="C162" s="248" t="s">
        <v>99</v>
      </c>
      <c r="D162" s="111">
        <v>843.1</v>
      </c>
      <c r="E162" s="111"/>
      <c r="F162" s="111">
        <f t="shared" si="27"/>
        <v>0</v>
      </c>
      <c r="G162" s="111">
        <f t="shared" si="31"/>
        <v>0</v>
      </c>
      <c r="H162" s="221">
        <f>D162*G162</f>
        <v>0</v>
      </c>
      <c r="I162" s="54"/>
      <c r="J162" s="124">
        <f t="shared" si="30"/>
        <v>0</v>
      </c>
    </row>
    <row r="163" spans="1:10" ht="15.75" outlineLevel="2">
      <c r="A163" s="56" t="s">
        <v>815</v>
      </c>
      <c r="B163" s="200" t="s">
        <v>1342</v>
      </c>
      <c r="C163" s="248" t="s">
        <v>99</v>
      </c>
      <c r="D163" s="111">
        <v>1816</v>
      </c>
      <c r="E163" s="111"/>
      <c r="F163" s="111">
        <f t="shared" si="27"/>
        <v>0</v>
      </c>
      <c r="G163" s="111">
        <f t="shared" si="31"/>
        <v>0</v>
      </c>
      <c r="H163" s="221">
        <f>D163*G163</f>
        <v>0</v>
      </c>
      <c r="I163" s="54"/>
      <c r="J163" s="124">
        <f t="shared" si="30"/>
        <v>0</v>
      </c>
    </row>
    <row r="164" spans="1:10" ht="15.75" outlineLevel="2">
      <c r="A164" s="56" t="s">
        <v>1353</v>
      </c>
      <c r="B164" s="200" t="s">
        <v>1343</v>
      </c>
      <c r="C164" s="248" t="s">
        <v>99</v>
      </c>
      <c r="D164" s="111">
        <v>75</v>
      </c>
      <c r="E164" s="111"/>
      <c r="F164" s="111"/>
      <c r="G164" s="111"/>
      <c r="H164" s="221"/>
      <c r="I164" s="54"/>
      <c r="J164" s="124"/>
    </row>
    <row r="165" spans="1:10" ht="15.75" outlineLevel="2">
      <c r="A165" s="56" t="s">
        <v>1354</v>
      </c>
      <c r="B165" s="247" t="s">
        <v>1344</v>
      </c>
      <c r="C165" s="248" t="s">
        <v>334</v>
      </c>
      <c r="D165" s="111">
        <v>171.25</v>
      </c>
      <c r="E165" s="111"/>
      <c r="F165" s="111"/>
      <c r="G165" s="111"/>
      <c r="H165" s="221"/>
      <c r="I165" s="54"/>
      <c r="J165" s="124"/>
    </row>
    <row r="166" spans="1:10" ht="15.75" outlineLevel="2">
      <c r="A166" s="56" t="s">
        <v>1355</v>
      </c>
      <c r="B166" s="247" t="s">
        <v>35</v>
      </c>
      <c r="C166" s="248" t="s">
        <v>334</v>
      </c>
      <c r="D166" s="111">
        <v>171.25</v>
      </c>
      <c r="E166" s="111"/>
      <c r="F166" s="111"/>
      <c r="G166" s="111"/>
      <c r="H166" s="221"/>
      <c r="I166" s="54"/>
      <c r="J166" s="124"/>
    </row>
    <row r="167" spans="1:10" ht="15.75" outlineLevel="2">
      <c r="A167" s="56" t="s">
        <v>1356</v>
      </c>
      <c r="B167" s="247" t="s">
        <v>1345</v>
      </c>
      <c r="C167" s="248" t="s">
        <v>1365</v>
      </c>
      <c r="D167" s="111">
        <v>4820</v>
      </c>
      <c r="E167" s="111"/>
      <c r="F167" s="111"/>
      <c r="G167" s="111"/>
      <c r="H167" s="221"/>
      <c r="I167" s="54"/>
      <c r="J167" s="124"/>
    </row>
    <row r="168" spans="1:10" ht="15.75" outlineLevel="2">
      <c r="A168" s="56" t="s">
        <v>1357</v>
      </c>
      <c r="B168" s="247" t="s">
        <v>1346</v>
      </c>
      <c r="C168" s="248" t="s">
        <v>3</v>
      </c>
      <c r="D168" s="111">
        <v>1128.41</v>
      </c>
      <c r="E168" s="111"/>
      <c r="F168" s="111"/>
      <c r="G168" s="111"/>
      <c r="H168" s="221"/>
      <c r="I168" s="54"/>
      <c r="J168" s="124"/>
    </row>
    <row r="169" spans="1:10" ht="15.75" outlineLevel="2">
      <c r="A169" s="56" t="s">
        <v>1358</v>
      </c>
      <c r="B169" s="247" t="s">
        <v>1347</v>
      </c>
      <c r="C169" s="248" t="s">
        <v>3</v>
      </c>
      <c r="D169" s="111">
        <v>152.43</v>
      </c>
      <c r="E169" s="111"/>
      <c r="F169" s="111"/>
      <c r="G169" s="111"/>
      <c r="H169" s="221"/>
      <c r="I169" s="54"/>
      <c r="J169" s="124"/>
    </row>
    <row r="170" spans="1:10" ht="15.75" outlineLevel="2">
      <c r="A170" s="56" t="s">
        <v>1359</v>
      </c>
      <c r="B170" s="247" t="s">
        <v>1348</v>
      </c>
      <c r="C170" s="248" t="s">
        <v>1366</v>
      </c>
      <c r="D170" s="111">
        <v>811.6</v>
      </c>
      <c r="E170" s="111"/>
      <c r="F170" s="111"/>
      <c r="G170" s="111"/>
      <c r="H170" s="221"/>
      <c r="I170" s="54"/>
      <c r="J170" s="124"/>
    </row>
    <row r="171" spans="1:10" ht="15.75" outlineLevel="2">
      <c r="A171" s="56" t="s">
        <v>1360</v>
      </c>
      <c r="B171" s="247" t="s">
        <v>1349</v>
      </c>
      <c r="C171" s="248" t="s">
        <v>1367</v>
      </c>
      <c r="D171" s="177">
        <v>1</v>
      </c>
      <c r="E171" s="111"/>
      <c r="F171" s="111"/>
      <c r="G171" s="111"/>
      <c r="H171" s="221"/>
      <c r="I171" s="54"/>
      <c r="J171" s="124"/>
    </row>
    <row r="172" spans="1:10" ht="15.75" outlineLevel="2">
      <c r="A172" s="56" t="s">
        <v>1361</v>
      </c>
      <c r="B172" s="247" t="s">
        <v>1350</v>
      </c>
      <c r="C172" s="248" t="s">
        <v>1366</v>
      </c>
      <c r="D172" s="249">
        <v>19.02</v>
      </c>
      <c r="E172" s="111"/>
      <c r="F172" s="111"/>
      <c r="G172" s="111"/>
      <c r="H172" s="221"/>
      <c r="I172" s="54"/>
      <c r="J172" s="124"/>
    </row>
    <row r="173" spans="1:10" ht="31.5" outlineLevel="2">
      <c r="A173" s="56" t="s">
        <v>1362</v>
      </c>
      <c r="B173" s="247" t="s">
        <v>1351</v>
      </c>
      <c r="C173" s="248" t="s">
        <v>1366</v>
      </c>
      <c r="D173" s="249">
        <v>63</v>
      </c>
      <c r="E173" s="111"/>
      <c r="F173" s="111"/>
      <c r="G173" s="111"/>
      <c r="H173" s="221"/>
      <c r="I173" s="54"/>
      <c r="J173" s="124"/>
    </row>
    <row r="174" spans="1:10" ht="15.75" outlineLevel="2">
      <c r="A174" s="56" t="s">
        <v>1363</v>
      </c>
      <c r="B174" s="247" t="s">
        <v>1352</v>
      </c>
      <c r="C174" s="248" t="s">
        <v>334</v>
      </c>
      <c r="D174" s="111">
        <v>2.42</v>
      </c>
      <c r="E174" s="111"/>
      <c r="F174" s="111"/>
      <c r="G174" s="111"/>
      <c r="H174" s="221"/>
      <c r="I174" s="54"/>
      <c r="J174" s="124"/>
    </row>
    <row r="175" spans="1:10" ht="15.75" outlineLevel="2">
      <c r="A175" s="56"/>
      <c r="B175" s="53"/>
      <c r="C175" s="169"/>
      <c r="D175" s="111"/>
      <c r="E175" s="111"/>
      <c r="F175" s="111"/>
      <c r="G175" s="111"/>
      <c r="H175" s="221"/>
      <c r="I175" s="54"/>
      <c r="J175" s="124"/>
    </row>
    <row r="176" spans="1:10" s="119" customFormat="1" ht="15.75" outlineLevel="1">
      <c r="A176" s="50" t="s">
        <v>697</v>
      </c>
      <c r="B176" s="117" t="s">
        <v>271</v>
      </c>
      <c r="C176" s="172">
        <v>0</v>
      </c>
      <c r="D176" s="118"/>
      <c r="E176" s="118"/>
      <c r="F176" s="118">
        <f t="shared" si="27"/>
        <v>0</v>
      </c>
      <c r="G176" s="118">
        <f t="shared" si="31"/>
        <v>0</v>
      </c>
      <c r="H176" s="220">
        <f>SUBTOTAL(9,H177:H180)</f>
        <v>0</v>
      </c>
      <c r="I176" s="120"/>
      <c r="J176" s="124">
        <f t="shared" si="30"/>
        <v>0</v>
      </c>
    </row>
    <row r="177" spans="1:10" ht="13.5" customHeight="1" outlineLevel="2">
      <c r="A177" s="57" t="s">
        <v>705</v>
      </c>
      <c r="B177" s="53" t="s">
        <v>89</v>
      </c>
      <c r="C177" s="169" t="s">
        <v>3</v>
      </c>
      <c r="D177" s="111">
        <v>1.9893759999999996</v>
      </c>
      <c r="E177" s="111"/>
      <c r="F177" s="111">
        <f t="shared" si="27"/>
        <v>0</v>
      </c>
      <c r="G177" s="111">
        <f t="shared" si="31"/>
        <v>0</v>
      </c>
      <c r="H177" s="221">
        <f>D177*G177</f>
        <v>0</v>
      </c>
      <c r="I177" s="54"/>
      <c r="J177" s="124">
        <f t="shared" si="30"/>
        <v>0</v>
      </c>
    </row>
    <row r="178" spans="1:10" ht="15.75" outlineLevel="2">
      <c r="A178" s="56" t="s">
        <v>706</v>
      </c>
      <c r="B178" s="53" t="s">
        <v>76</v>
      </c>
      <c r="C178" s="169" t="s">
        <v>99</v>
      </c>
      <c r="D178" s="111">
        <f>+D179*100</f>
        <v>39.787519999999994</v>
      </c>
      <c r="E178" s="111"/>
      <c r="F178" s="111">
        <f t="shared" si="27"/>
        <v>0</v>
      </c>
      <c r="G178" s="111">
        <f t="shared" si="31"/>
        <v>0</v>
      </c>
      <c r="H178" s="221">
        <f>D178*G178</f>
        <v>0</v>
      </c>
      <c r="I178" s="54"/>
      <c r="J178" s="124">
        <f t="shared" si="30"/>
        <v>0</v>
      </c>
    </row>
    <row r="179" spans="1:10" ht="15.75" outlineLevel="2">
      <c r="A179" s="56" t="s">
        <v>818</v>
      </c>
      <c r="B179" s="53" t="s">
        <v>194</v>
      </c>
      <c r="C179" s="169" t="s">
        <v>334</v>
      </c>
      <c r="D179" s="111">
        <v>0.39787519999999993</v>
      </c>
      <c r="E179" s="111"/>
      <c r="F179" s="111">
        <f t="shared" si="27"/>
        <v>0</v>
      </c>
      <c r="G179" s="111">
        <f t="shared" si="31"/>
        <v>0</v>
      </c>
      <c r="H179" s="221">
        <f>D179*G179</f>
        <v>0</v>
      </c>
      <c r="I179" s="54"/>
      <c r="J179" s="124">
        <f t="shared" si="30"/>
        <v>0</v>
      </c>
    </row>
    <row r="180" spans="1:10" ht="15.75" outlineLevel="2">
      <c r="A180" s="56" t="s">
        <v>819</v>
      </c>
      <c r="B180" s="53" t="s">
        <v>35</v>
      </c>
      <c r="C180" s="169" t="s">
        <v>334</v>
      </c>
      <c r="D180" s="111">
        <f>+D179</f>
        <v>0.39787519999999993</v>
      </c>
      <c r="E180" s="111"/>
      <c r="F180" s="111">
        <f t="shared" si="27"/>
        <v>0</v>
      </c>
      <c r="G180" s="111">
        <f t="shared" si="31"/>
        <v>0</v>
      </c>
      <c r="H180" s="221">
        <f>D180*G180</f>
        <v>0</v>
      </c>
      <c r="I180" s="54"/>
      <c r="J180" s="124">
        <f t="shared" si="30"/>
        <v>0</v>
      </c>
    </row>
    <row r="181" spans="1:10" ht="15.75" outlineLevel="2">
      <c r="A181" s="52"/>
      <c r="B181" s="58">
        <v>0</v>
      </c>
      <c r="C181" s="173">
        <v>0</v>
      </c>
      <c r="D181" s="113"/>
      <c r="E181" s="113"/>
      <c r="F181" s="113">
        <f t="shared" si="27"/>
        <v>0</v>
      </c>
      <c r="G181" s="113">
        <f t="shared" si="31"/>
        <v>0</v>
      </c>
      <c r="H181" s="224">
        <v>0</v>
      </c>
      <c r="I181" s="54"/>
      <c r="J181" s="124">
        <f t="shared" si="30"/>
        <v>0</v>
      </c>
    </row>
    <row r="182" spans="1:10" s="119" customFormat="1" ht="15.75" outlineLevel="1">
      <c r="A182" s="50" t="s">
        <v>1149</v>
      </c>
      <c r="B182" s="117" t="s">
        <v>780</v>
      </c>
      <c r="C182" s="172">
        <v>0</v>
      </c>
      <c r="D182" s="118"/>
      <c r="E182" s="118"/>
      <c r="F182" s="118">
        <f t="shared" si="27"/>
        <v>0</v>
      </c>
      <c r="G182" s="118">
        <f t="shared" si="31"/>
        <v>0</v>
      </c>
      <c r="H182" s="220">
        <f>SUBTOTAL(9,H183:H186)</f>
        <v>0</v>
      </c>
      <c r="I182" s="120"/>
      <c r="J182" s="124">
        <f aca="true" t="shared" si="32" ref="J182:J187">+D182*G182</f>
        <v>0</v>
      </c>
    </row>
    <row r="183" spans="1:10" ht="15.75" outlineLevel="2">
      <c r="A183" s="57" t="s">
        <v>1150</v>
      </c>
      <c r="B183" s="53" t="s">
        <v>89</v>
      </c>
      <c r="C183" s="169" t="s">
        <v>3</v>
      </c>
      <c r="D183" s="111">
        <v>22.43</v>
      </c>
      <c r="E183" s="111"/>
      <c r="F183" s="111">
        <f aca="true" t="shared" si="33" ref="F183:F214">+E183*$H$7</f>
        <v>0</v>
      </c>
      <c r="G183" s="111">
        <f t="shared" si="31"/>
        <v>0</v>
      </c>
      <c r="H183" s="221">
        <f>D183*G183</f>
        <v>0</v>
      </c>
      <c r="I183" s="54"/>
      <c r="J183" s="124">
        <f t="shared" si="32"/>
        <v>0</v>
      </c>
    </row>
    <row r="184" spans="1:10" ht="15.75" outlineLevel="2">
      <c r="A184" s="57" t="s">
        <v>1151</v>
      </c>
      <c r="B184" s="53" t="s">
        <v>76</v>
      </c>
      <c r="C184" s="169" t="s">
        <v>99</v>
      </c>
      <c r="D184" s="111">
        <f>+D185*100</f>
        <v>198</v>
      </c>
      <c r="E184" s="111"/>
      <c r="F184" s="111">
        <f t="shared" si="33"/>
        <v>0</v>
      </c>
      <c r="G184" s="111">
        <f t="shared" si="31"/>
        <v>0</v>
      </c>
      <c r="H184" s="221">
        <f>D184*G184</f>
        <v>0</v>
      </c>
      <c r="I184" s="54"/>
      <c r="J184" s="124">
        <f t="shared" si="32"/>
        <v>0</v>
      </c>
    </row>
    <row r="185" spans="1:10" ht="15.75" outlineLevel="2">
      <c r="A185" s="57" t="s">
        <v>1152</v>
      </c>
      <c r="B185" s="53" t="s">
        <v>194</v>
      </c>
      <c r="C185" s="169" t="s">
        <v>334</v>
      </c>
      <c r="D185" s="111">
        <v>1.98</v>
      </c>
      <c r="E185" s="111"/>
      <c r="F185" s="111">
        <f t="shared" si="33"/>
        <v>0</v>
      </c>
      <c r="G185" s="111">
        <f t="shared" si="31"/>
        <v>0</v>
      </c>
      <c r="H185" s="221">
        <f>D185*G185</f>
        <v>0</v>
      </c>
      <c r="I185" s="54"/>
      <c r="J185" s="124">
        <f t="shared" si="32"/>
        <v>0</v>
      </c>
    </row>
    <row r="186" spans="1:10" ht="15.75" outlineLevel="2">
      <c r="A186" s="57" t="s">
        <v>1153</v>
      </c>
      <c r="B186" s="53" t="s">
        <v>35</v>
      </c>
      <c r="C186" s="169" t="s">
        <v>334</v>
      </c>
      <c r="D186" s="111">
        <f>+D185</f>
        <v>1.98</v>
      </c>
      <c r="E186" s="111"/>
      <c r="F186" s="111">
        <f t="shared" si="33"/>
        <v>0</v>
      </c>
      <c r="G186" s="111">
        <f t="shared" si="31"/>
        <v>0</v>
      </c>
      <c r="H186" s="221">
        <f>D186*G186</f>
        <v>0</v>
      </c>
      <c r="I186" s="54"/>
      <c r="J186" s="124">
        <f t="shared" si="32"/>
        <v>0</v>
      </c>
    </row>
    <row r="187" spans="1:10" ht="15.75" outlineLevel="2">
      <c r="A187" s="52"/>
      <c r="B187" s="58">
        <v>0</v>
      </c>
      <c r="C187" s="173">
        <v>0</v>
      </c>
      <c r="D187" s="113"/>
      <c r="E187" s="113"/>
      <c r="F187" s="113">
        <f t="shared" si="33"/>
        <v>0</v>
      </c>
      <c r="G187" s="113">
        <f aca="true" t="shared" si="34" ref="G187:G192">+E187+F187</f>
        <v>0</v>
      </c>
      <c r="H187" s="224">
        <v>0</v>
      </c>
      <c r="I187" s="54"/>
      <c r="J187" s="124">
        <f t="shared" si="32"/>
        <v>0</v>
      </c>
    </row>
    <row r="188" spans="1:10" s="119" customFormat="1" ht="15.75" outlineLevel="1">
      <c r="A188" s="50" t="s">
        <v>1154</v>
      </c>
      <c r="B188" s="117" t="s">
        <v>781</v>
      </c>
      <c r="C188" s="172">
        <v>0</v>
      </c>
      <c r="D188" s="118"/>
      <c r="E188" s="118"/>
      <c r="F188" s="118">
        <f t="shared" si="33"/>
        <v>0</v>
      </c>
      <c r="G188" s="118">
        <f t="shared" si="34"/>
        <v>0</v>
      </c>
      <c r="H188" s="220">
        <f>SUBTOTAL(9,H189:H192)</f>
        <v>0</v>
      </c>
      <c r="I188" s="120"/>
      <c r="J188" s="124">
        <f aca="true" t="shared" si="35" ref="J188:J193">+D188*G188</f>
        <v>0</v>
      </c>
    </row>
    <row r="189" spans="1:10" ht="15.75" outlineLevel="2">
      <c r="A189" s="57" t="s">
        <v>1155</v>
      </c>
      <c r="B189" s="53" t="s">
        <v>89</v>
      </c>
      <c r="C189" s="169" t="s">
        <v>3</v>
      </c>
      <c r="D189" s="111">
        <v>8.86</v>
      </c>
      <c r="E189" s="111"/>
      <c r="F189" s="111">
        <f t="shared" si="33"/>
        <v>0</v>
      </c>
      <c r="G189" s="111">
        <f t="shared" si="34"/>
        <v>0</v>
      </c>
      <c r="H189" s="221">
        <f>D189*G189</f>
        <v>0</v>
      </c>
      <c r="I189" s="54"/>
      <c r="J189" s="124">
        <f t="shared" si="35"/>
        <v>0</v>
      </c>
    </row>
    <row r="190" spans="1:10" ht="15.75" outlineLevel="2">
      <c r="A190" s="57" t="s">
        <v>1156</v>
      </c>
      <c r="B190" s="53" t="s">
        <v>76</v>
      </c>
      <c r="C190" s="169" t="s">
        <v>99</v>
      </c>
      <c r="D190" s="111">
        <f>+D191*100</f>
        <v>63</v>
      </c>
      <c r="E190" s="111"/>
      <c r="F190" s="111">
        <f t="shared" si="33"/>
        <v>0</v>
      </c>
      <c r="G190" s="111">
        <f t="shared" si="34"/>
        <v>0</v>
      </c>
      <c r="H190" s="221">
        <f>D190*G190</f>
        <v>0</v>
      </c>
      <c r="I190" s="54"/>
      <c r="J190" s="124">
        <f t="shared" si="35"/>
        <v>0</v>
      </c>
    </row>
    <row r="191" spans="1:10" ht="15.75" outlineLevel="2">
      <c r="A191" s="57" t="s">
        <v>1157</v>
      </c>
      <c r="B191" s="53" t="s">
        <v>194</v>
      </c>
      <c r="C191" s="169" t="s">
        <v>334</v>
      </c>
      <c r="D191" s="111">
        <v>0.63</v>
      </c>
      <c r="E191" s="111"/>
      <c r="F191" s="111">
        <f t="shared" si="33"/>
        <v>0</v>
      </c>
      <c r="G191" s="111">
        <f t="shared" si="34"/>
        <v>0</v>
      </c>
      <c r="H191" s="221">
        <f>D191*G191</f>
        <v>0</v>
      </c>
      <c r="I191" s="54"/>
      <c r="J191" s="124">
        <f t="shared" si="35"/>
        <v>0</v>
      </c>
    </row>
    <row r="192" spans="1:10" ht="15.75" outlineLevel="2">
      <c r="A192" s="57" t="s">
        <v>1158</v>
      </c>
      <c r="B192" s="53" t="s">
        <v>35</v>
      </c>
      <c r="C192" s="169" t="s">
        <v>334</v>
      </c>
      <c r="D192" s="111">
        <f>+D191</f>
        <v>0.63</v>
      </c>
      <c r="E192" s="111"/>
      <c r="F192" s="111">
        <f t="shared" si="33"/>
        <v>0</v>
      </c>
      <c r="G192" s="111">
        <f t="shared" si="34"/>
        <v>0</v>
      </c>
      <c r="H192" s="221">
        <f>D192*G192</f>
        <v>0</v>
      </c>
      <c r="I192" s="54"/>
      <c r="J192" s="124">
        <f t="shared" si="35"/>
        <v>0</v>
      </c>
    </row>
    <row r="193" spans="1:10" ht="15.75" outlineLevel="1">
      <c r="A193" s="225">
        <v>0</v>
      </c>
      <c r="B193" s="58">
        <v>0</v>
      </c>
      <c r="C193" s="173">
        <v>0</v>
      </c>
      <c r="D193" s="113"/>
      <c r="E193" s="113"/>
      <c r="F193" s="113">
        <f t="shared" si="33"/>
        <v>0</v>
      </c>
      <c r="G193" s="113">
        <f aca="true" t="shared" si="36" ref="G193:G198">+E193+F193</f>
        <v>0</v>
      </c>
      <c r="H193" s="224">
        <v>0</v>
      </c>
      <c r="I193" s="54"/>
      <c r="J193" s="124">
        <f t="shared" si="35"/>
        <v>0</v>
      </c>
    </row>
    <row r="194" spans="1:10" ht="15.75">
      <c r="A194" s="59" t="s">
        <v>793</v>
      </c>
      <c r="B194" s="60" t="s">
        <v>279</v>
      </c>
      <c r="C194" s="171">
        <v>0</v>
      </c>
      <c r="D194" s="112"/>
      <c r="E194" s="112"/>
      <c r="F194" s="112">
        <f t="shared" si="33"/>
        <v>0</v>
      </c>
      <c r="G194" s="112">
        <f t="shared" si="36"/>
        <v>0</v>
      </c>
      <c r="H194" s="223">
        <f>SUBTOTAL(9,H195:H214)</f>
        <v>0</v>
      </c>
      <c r="I194" s="54"/>
      <c r="J194" s="124">
        <f>+D194*G194</f>
        <v>0</v>
      </c>
    </row>
    <row r="195" spans="1:10" s="119" customFormat="1" ht="15.75" outlineLevel="1">
      <c r="A195" s="50" t="s">
        <v>541</v>
      </c>
      <c r="B195" s="117" t="s">
        <v>700</v>
      </c>
      <c r="C195" s="172">
        <v>0</v>
      </c>
      <c r="D195" s="118"/>
      <c r="E195" s="118"/>
      <c r="F195" s="118">
        <f t="shared" si="33"/>
        <v>0</v>
      </c>
      <c r="G195" s="118">
        <f t="shared" si="36"/>
        <v>0</v>
      </c>
      <c r="H195" s="220">
        <f>SUBTOTAL(9,H196:H198)</f>
        <v>0</v>
      </c>
      <c r="I195" s="120"/>
      <c r="J195" s="124">
        <f>+D195*G195</f>
        <v>0</v>
      </c>
    </row>
    <row r="196" spans="1:10" ht="15.75" outlineLevel="2">
      <c r="A196" s="56" t="s">
        <v>542</v>
      </c>
      <c r="B196" s="53" t="s">
        <v>298</v>
      </c>
      <c r="C196" s="169" t="s">
        <v>99</v>
      </c>
      <c r="D196" s="250">
        <v>61809</v>
      </c>
      <c r="E196" s="111"/>
      <c r="F196" s="111">
        <f t="shared" si="33"/>
        <v>0</v>
      </c>
      <c r="G196" s="111">
        <f t="shared" si="36"/>
        <v>0</v>
      </c>
      <c r="H196" s="221">
        <f>D196*G196</f>
        <v>0</v>
      </c>
      <c r="I196" s="54"/>
      <c r="J196" s="124">
        <f>+D196*G196</f>
        <v>0</v>
      </c>
    </row>
    <row r="197" spans="1:10" ht="15.75" outlineLevel="2">
      <c r="A197" s="56" t="s">
        <v>822</v>
      </c>
      <c r="B197" s="53" t="s">
        <v>319</v>
      </c>
      <c r="C197" s="169" t="s">
        <v>99</v>
      </c>
      <c r="D197" s="111">
        <f>+D196</f>
        <v>61809</v>
      </c>
      <c r="E197" s="111"/>
      <c r="F197" s="111">
        <f t="shared" si="33"/>
        <v>0</v>
      </c>
      <c r="G197" s="111">
        <f t="shared" si="36"/>
        <v>0</v>
      </c>
      <c r="H197" s="221">
        <f>D197*G197</f>
        <v>0</v>
      </c>
      <c r="I197" s="54"/>
      <c r="J197" s="124">
        <f>+D197*G197</f>
        <v>0</v>
      </c>
    </row>
    <row r="198" spans="1:10" ht="15.75" outlineLevel="2">
      <c r="A198" s="52"/>
      <c r="B198" s="58">
        <v>0</v>
      </c>
      <c r="C198" s="173">
        <v>0</v>
      </c>
      <c r="D198" s="113"/>
      <c r="E198" s="113"/>
      <c r="F198" s="113">
        <f t="shared" si="33"/>
        <v>0</v>
      </c>
      <c r="G198" s="113">
        <f t="shared" si="36"/>
        <v>0</v>
      </c>
      <c r="H198" s="224">
        <v>0</v>
      </c>
      <c r="I198" s="54"/>
      <c r="J198" s="124">
        <f>+D198*G198</f>
        <v>0</v>
      </c>
    </row>
    <row r="199" spans="1:10" s="119" customFormat="1" ht="15.75" outlineLevel="1">
      <c r="A199" s="50" t="s">
        <v>543</v>
      </c>
      <c r="B199" s="117" t="s">
        <v>701</v>
      </c>
      <c r="C199" s="172">
        <v>0</v>
      </c>
      <c r="D199" s="118"/>
      <c r="E199" s="118"/>
      <c r="F199" s="118">
        <f t="shared" si="33"/>
        <v>0</v>
      </c>
      <c r="G199" s="118">
        <f aca="true" t="shared" si="37" ref="G199:G214">+E199+F199</f>
        <v>0</v>
      </c>
      <c r="H199" s="220">
        <f>SUBTOTAL(9,H200:H202)</f>
        <v>0</v>
      </c>
      <c r="I199" s="120"/>
      <c r="J199" s="124">
        <f aca="true" t="shared" si="38" ref="J199:J214">+D199*G199</f>
        <v>0</v>
      </c>
    </row>
    <row r="200" spans="1:10" ht="31.5" outlineLevel="2">
      <c r="A200" s="56" t="s">
        <v>544</v>
      </c>
      <c r="B200" s="53" t="s">
        <v>708</v>
      </c>
      <c r="C200" s="169" t="s">
        <v>99</v>
      </c>
      <c r="D200" s="250">
        <v>5561</v>
      </c>
      <c r="E200" s="111"/>
      <c r="F200" s="111">
        <f t="shared" si="33"/>
        <v>0</v>
      </c>
      <c r="G200" s="111">
        <f t="shared" si="37"/>
        <v>0</v>
      </c>
      <c r="H200" s="221">
        <f>D200*G200</f>
        <v>0</v>
      </c>
      <c r="I200" s="54"/>
      <c r="J200" s="124">
        <f t="shared" si="38"/>
        <v>0</v>
      </c>
    </row>
    <row r="201" spans="1:10" ht="15.75" outlineLevel="2">
      <c r="A201" s="56" t="s">
        <v>572</v>
      </c>
      <c r="B201" s="53" t="s">
        <v>710</v>
      </c>
      <c r="C201" s="169" t="s">
        <v>99</v>
      </c>
      <c r="D201" s="111">
        <f>+D200</f>
        <v>5561</v>
      </c>
      <c r="E201" s="111"/>
      <c r="F201" s="111">
        <f t="shared" si="33"/>
        <v>0</v>
      </c>
      <c r="G201" s="111">
        <f t="shared" si="37"/>
        <v>0</v>
      </c>
      <c r="H201" s="221">
        <f>D201*G201</f>
        <v>0</v>
      </c>
      <c r="I201" s="54"/>
      <c r="J201" s="124">
        <f t="shared" si="38"/>
        <v>0</v>
      </c>
    </row>
    <row r="202" spans="1:10" ht="15.75" outlineLevel="2">
      <c r="A202" s="52"/>
      <c r="B202" s="58">
        <v>0</v>
      </c>
      <c r="C202" s="173">
        <v>0</v>
      </c>
      <c r="D202" s="113"/>
      <c r="E202" s="113"/>
      <c r="F202" s="113">
        <f t="shared" si="33"/>
        <v>0</v>
      </c>
      <c r="G202" s="113">
        <f t="shared" si="37"/>
        <v>0</v>
      </c>
      <c r="H202" s="224">
        <v>0</v>
      </c>
      <c r="I202" s="54"/>
      <c r="J202" s="124">
        <f t="shared" si="38"/>
        <v>0</v>
      </c>
    </row>
    <row r="203" spans="1:10" s="119" customFormat="1" ht="15.75" outlineLevel="1">
      <c r="A203" s="50" t="s">
        <v>573</v>
      </c>
      <c r="B203" s="117" t="s">
        <v>707</v>
      </c>
      <c r="C203" s="172">
        <v>0</v>
      </c>
      <c r="D203" s="118"/>
      <c r="E203" s="118"/>
      <c r="F203" s="118">
        <f t="shared" si="33"/>
        <v>0</v>
      </c>
      <c r="G203" s="118">
        <f t="shared" si="37"/>
        <v>0</v>
      </c>
      <c r="H203" s="220">
        <f>SUBTOTAL(9,H204:H206)</f>
        <v>0</v>
      </c>
      <c r="I203" s="120"/>
      <c r="J203" s="124">
        <f t="shared" si="38"/>
        <v>0</v>
      </c>
    </row>
    <row r="204" spans="1:10" ht="31.5" outlineLevel="2">
      <c r="A204" s="56" t="s">
        <v>574</v>
      </c>
      <c r="B204" s="53" t="s">
        <v>708</v>
      </c>
      <c r="C204" s="169" t="s">
        <v>99</v>
      </c>
      <c r="D204" s="250">
        <v>1679</v>
      </c>
      <c r="E204" s="111"/>
      <c r="F204" s="111">
        <f t="shared" si="33"/>
        <v>0</v>
      </c>
      <c r="G204" s="111">
        <f t="shared" si="37"/>
        <v>0</v>
      </c>
      <c r="H204" s="221">
        <f>D204*G204</f>
        <v>0</v>
      </c>
      <c r="I204" s="54"/>
      <c r="J204" s="124">
        <f t="shared" si="38"/>
        <v>0</v>
      </c>
    </row>
    <row r="205" spans="1:10" ht="15.75" outlineLevel="2">
      <c r="A205" s="56" t="s">
        <v>575</v>
      </c>
      <c r="B205" s="53" t="s">
        <v>710</v>
      </c>
      <c r="C205" s="169" t="s">
        <v>99</v>
      </c>
      <c r="D205" s="111">
        <f>+D204</f>
        <v>1679</v>
      </c>
      <c r="E205" s="111"/>
      <c r="F205" s="111">
        <f t="shared" si="33"/>
        <v>0</v>
      </c>
      <c r="G205" s="111">
        <f t="shared" si="37"/>
        <v>0</v>
      </c>
      <c r="H205" s="221">
        <f>D205*G205</f>
        <v>0</v>
      </c>
      <c r="I205" s="54"/>
      <c r="J205" s="124">
        <f t="shared" si="38"/>
        <v>0</v>
      </c>
    </row>
    <row r="206" spans="1:10" ht="15.75" outlineLevel="2">
      <c r="A206" s="52"/>
      <c r="B206" s="58">
        <v>0</v>
      </c>
      <c r="C206" s="173">
        <v>0</v>
      </c>
      <c r="D206" s="113"/>
      <c r="E206" s="113"/>
      <c r="F206" s="113">
        <f t="shared" si="33"/>
        <v>0</v>
      </c>
      <c r="G206" s="113">
        <f t="shared" si="37"/>
        <v>0</v>
      </c>
      <c r="H206" s="224">
        <v>0</v>
      </c>
      <c r="I206" s="54"/>
      <c r="J206" s="124">
        <f t="shared" si="38"/>
        <v>0</v>
      </c>
    </row>
    <row r="207" spans="1:10" s="119" customFormat="1" ht="15.75" outlineLevel="1">
      <c r="A207" s="50" t="s">
        <v>739</v>
      </c>
      <c r="B207" s="117" t="s">
        <v>1013</v>
      </c>
      <c r="C207" s="172">
        <v>0</v>
      </c>
      <c r="D207" s="118"/>
      <c r="E207" s="118"/>
      <c r="F207" s="118">
        <f t="shared" si="33"/>
        <v>0</v>
      </c>
      <c r="G207" s="118">
        <f t="shared" si="37"/>
        <v>0</v>
      </c>
      <c r="H207" s="220">
        <f>SUBTOTAL(9,H208:H214)</f>
        <v>0</v>
      </c>
      <c r="I207" s="120"/>
      <c r="J207" s="124">
        <f t="shared" si="38"/>
        <v>0</v>
      </c>
    </row>
    <row r="208" spans="1:10" ht="31.5" outlineLevel="2">
      <c r="A208" s="56" t="s">
        <v>823</v>
      </c>
      <c r="B208" s="53" t="s">
        <v>708</v>
      </c>
      <c r="C208" s="169" t="s">
        <v>99</v>
      </c>
      <c r="D208" s="147">
        <f>1200+500</f>
        <v>1700</v>
      </c>
      <c r="E208" s="111"/>
      <c r="F208" s="111">
        <f t="shared" si="33"/>
        <v>0</v>
      </c>
      <c r="G208" s="111">
        <f t="shared" si="37"/>
        <v>0</v>
      </c>
      <c r="H208" s="221">
        <f>D208*G208</f>
        <v>0</v>
      </c>
      <c r="I208" s="54"/>
      <c r="J208" s="124">
        <f t="shared" si="38"/>
        <v>0</v>
      </c>
    </row>
    <row r="209" spans="1:10" ht="15.75" outlineLevel="2">
      <c r="A209" s="56" t="s">
        <v>824</v>
      </c>
      <c r="B209" s="53" t="s">
        <v>710</v>
      </c>
      <c r="C209" s="169" t="s">
        <v>99</v>
      </c>
      <c r="D209" s="111">
        <f>+D208</f>
        <v>1700</v>
      </c>
      <c r="E209" s="111"/>
      <c r="F209" s="111">
        <f t="shared" si="33"/>
        <v>0</v>
      </c>
      <c r="G209" s="111">
        <f t="shared" si="37"/>
        <v>0</v>
      </c>
      <c r="H209" s="221">
        <f>D209*G209</f>
        <v>0</v>
      </c>
      <c r="I209" s="54"/>
      <c r="J209" s="124">
        <f t="shared" si="38"/>
        <v>0</v>
      </c>
    </row>
    <row r="210" spans="1:10" ht="15.75" outlineLevel="2">
      <c r="A210" s="52"/>
      <c r="B210" s="58">
        <v>0</v>
      </c>
      <c r="C210" s="173">
        <v>0</v>
      </c>
      <c r="D210" s="113"/>
      <c r="E210" s="113"/>
      <c r="F210" s="113">
        <f t="shared" si="33"/>
        <v>0</v>
      </c>
      <c r="G210" s="113">
        <f>+E210+F210</f>
        <v>0</v>
      </c>
      <c r="H210" s="224">
        <v>0</v>
      </c>
      <c r="I210" s="54"/>
      <c r="J210" s="124">
        <f>+D210*G210</f>
        <v>0</v>
      </c>
    </row>
    <row r="211" spans="1:10" s="119" customFormat="1" ht="15.75" outlineLevel="1">
      <c r="A211" s="50" t="s">
        <v>1014</v>
      </c>
      <c r="B211" s="117" t="s">
        <v>1017</v>
      </c>
      <c r="C211" s="172">
        <v>0</v>
      </c>
      <c r="D211" s="118"/>
      <c r="E211" s="118"/>
      <c r="F211" s="118">
        <f t="shared" si="33"/>
        <v>0</v>
      </c>
      <c r="G211" s="118">
        <f>+E211+F211</f>
        <v>0</v>
      </c>
      <c r="H211" s="220">
        <f>SUBTOTAL(9,H212:H218)</f>
        <v>0</v>
      </c>
      <c r="I211" s="120"/>
      <c r="J211" s="124">
        <f>+D211*G211</f>
        <v>0</v>
      </c>
    </row>
    <row r="212" spans="1:10" ht="31.5" outlineLevel="2">
      <c r="A212" s="56" t="s">
        <v>1015</v>
      </c>
      <c r="B212" s="53" t="s">
        <v>708</v>
      </c>
      <c r="C212" s="169" t="s">
        <v>99</v>
      </c>
      <c r="D212" s="250">
        <v>506</v>
      </c>
      <c r="E212" s="111"/>
      <c r="F212" s="111">
        <f t="shared" si="33"/>
        <v>0</v>
      </c>
      <c r="G212" s="111">
        <f>+E212+F212</f>
        <v>0</v>
      </c>
      <c r="H212" s="221">
        <f>D212*G212</f>
        <v>0</v>
      </c>
      <c r="I212" s="54"/>
      <c r="J212" s="124">
        <f>+D212*G212</f>
        <v>0</v>
      </c>
    </row>
    <row r="213" spans="1:10" ht="15.75" outlineLevel="2">
      <c r="A213" s="56" t="s">
        <v>1016</v>
      </c>
      <c r="B213" s="53" t="s">
        <v>710</v>
      </c>
      <c r="C213" s="169" t="s">
        <v>99</v>
      </c>
      <c r="D213" s="111">
        <f>+D212</f>
        <v>506</v>
      </c>
      <c r="E213" s="111"/>
      <c r="F213" s="111">
        <f t="shared" si="33"/>
        <v>0</v>
      </c>
      <c r="G213" s="111">
        <f>+E213+F213</f>
        <v>0</v>
      </c>
      <c r="H213" s="221">
        <f>D213*G213</f>
        <v>0</v>
      </c>
      <c r="I213" s="54"/>
      <c r="J213" s="124">
        <f>+D213*G213</f>
        <v>0</v>
      </c>
    </row>
    <row r="214" spans="1:10" ht="15.75" outlineLevel="1">
      <c r="A214" s="52"/>
      <c r="B214" s="58">
        <v>0</v>
      </c>
      <c r="C214" s="173">
        <v>0</v>
      </c>
      <c r="D214" s="113"/>
      <c r="E214" s="113"/>
      <c r="F214" s="113">
        <f t="shared" si="33"/>
        <v>0</v>
      </c>
      <c r="G214" s="113">
        <f t="shared" si="37"/>
        <v>0</v>
      </c>
      <c r="H214" s="224">
        <v>0</v>
      </c>
      <c r="I214" s="54"/>
      <c r="J214" s="124">
        <f t="shared" si="38"/>
        <v>0</v>
      </c>
    </row>
    <row r="215" spans="1:10" ht="15.75">
      <c r="A215" s="59" t="s">
        <v>794</v>
      </c>
      <c r="B215" s="60" t="s">
        <v>294</v>
      </c>
      <c r="C215" s="171">
        <v>0</v>
      </c>
      <c r="D215" s="112"/>
      <c r="E215" s="112"/>
      <c r="F215" s="112">
        <f aca="true" t="shared" si="39" ref="F215:F220">+E215*$H$7</f>
        <v>0</v>
      </c>
      <c r="G215" s="112">
        <f aca="true" t="shared" si="40" ref="G215:G220">+E215+F215</f>
        <v>0</v>
      </c>
      <c r="H215" s="223">
        <f>SUBTOTAL(9,H216:H225)</f>
        <v>0</v>
      </c>
      <c r="I215" s="54"/>
      <c r="J215" s="124">
        <f aca="true" t="shared" si="41" ref="J215:J235">+D215*G215</f>
        <v>0</v>
      </c>
    </row>
    <row r="216" spans="1:10" s="119" customFormat="1" ht="15.75" outlineLevel="1">
      <c r="A216" s="50" t="s">
        <v>545</v>
      </c>
      <c r="B216" s="151" t="s">
        <v>296</v>
      </c>
      <c r="C216" s="168"/>
      <c r="D216" s="118"/>
      <c r="E216" s="118"/>
      <c r="F216" s="118">
        <f t="shared" si="39"/>
        <v>0</v>
      </c>
      <c r="G216" s="118">
        <f t="shared" si="40"/>
        <v>0</v>
      </c>
      <c r="H216" s="220">
        <f>SUBTOTAL(9,H217)</f>
        <v>0</v>
      </c>
      <c r="I216" s="120"/>
      <c r="J216" s="124">
        <f t="shared" si="41"/>
        <v>0</v>
      </c>
    </row>
    <row r="217" spans="1:10" ht="15.75" outlineLevel="2">
      <c r="A217" s="56" t="s">
        <v>546</v>
      </c>
      <c r="B217" s="53" t="s">
        <v>385</v>
      </c>
      <c r="C217" s="169" t="s">
        <v>3</v>
      </c>
      <c r="D217" s="147">
        <v>380.09</v>
      </c>
      <c r="E217" s="111"/>
      <c r="F217" s="111">
        <f t="shared" si="39"/>
        <v>0</v>
      </c>
      <c r="G217" s="111">
        <f t="shared" si="40"/>
        <v>0</v>
      </c>
      <c r="H217" s="221">
        <f>D217*G217</f>
        <v>0</v>
      </c>
      <c r="I217" s="54"/>
      <c r="J217" s="124">
        <f t="shared" si="41"/>
        <v>0</v>
      </c>
    </row>
    <row r="218" spans="1:10" s="119" customFormat="1" ht="15.75" outlineLevel="1">
      <c r="A218" s="50" t="s">
        <v>547</v>
      </c>
      <c r="B218" s="151" t="s">
        <v>198</v>
      </c>
      <c r="C218" s="168"/>
      <c r="D218" s="118"/>
      <c r="E218" s="118"/>
      <c r="F218" s="118">
        <f t="shared" si="39"/>
        <v>0</v>
      </c>
      <c r="G218" s="118">
        <f t="shared" si="40"/>
        <v>0</v>
      </c>
      <c r="H218" s="220">
        <f>SUBTOTAL(9,H219:H221)</f>
        <v>0</v>
      </c>
      <c r="I218" s="120"/>
      <c r="J218" s="124">
        <f t="shared" si="41"/>
        <v>0</v>
      </c>
    </row>
    <row r="219" spans="1:10" ht="31.5" outlineLevel="2">
      <c r="A219" s="56" t="s">
        <v>548</v>
      </c>
      <c r="B219" s="53" t="s">
        <v>200</v>
      </c>
      <c r="C219" s="169" t="s">
        <v>3</v>
      </c>
      <c r="D219" s="147">
        <v>708.4</v>
      </c>
      <c r="E219" s="111"/>
      <c r="F219" s="111">
        <f t="shared" si="39"/>
        <v>0</v>
      </c>
      <c r="G219" s="111">
        <f t="shared" si="40"/>
        <v>0</v>
      </c>
      <c r="H219" s="221">
        <f>D219*G219</f>
        <v>0</v>
      </c>
      <c r="I219" s="54"/>
      <c r="J219" s="124">
        <f t="shared" si="41"/>
        <v>0</v>
      </c>
    </row>
    <row r="220" spans="1:10" ht="31.5" outlineLevel="2">
      <c r="A220" s="56" t="s">
        <v>549</v>
      </c>
      <c r="B220" s="53" t="s">
        <v>386</v>
      </c>
      <c r="C220" s="169" t="s">
        <v>3</v>
      </c>
      <c r="D220" s="147">
        <v>359.21</v>
      </c>
      <c r="E220" s="111"/>
      <c r="F220" s="111">
        <f t="shared" si="39"/>
        <v>0</v>
      </c>
      <c r="G220" s="111">
        <f t="shared" si="40"/>
        <v>0</v>
      </c>
      <c r="H220" s="221">
        <f>D220*G220</f>
        <v>0</v>
      </c>
      <c r="I220" s="54"/>
      <c r="J220" s="124">
        <f t="shared" si="41"/>
        <v>0</v>
      </c>
    </row>
    <row r="221" spans="1:10" ht="15.75" outlineLevel="2">
      <c r="A221" s="56"/>
      <c r="B221" s="53"/>
      <c r="C221" s="169"/>
      <c r="D221" s="111"/>
      <c r="E221" s="111"/>
      <c r="F221" s="111"/>
      <c r="G221" s="111"/>
      <c r="H221" s="221"/>
      <c r="I221" s="54"/>
      <c r="J221" s="124">
        <f t="shared" si="41"/>
        <v>0</v>
      </c>
    </row>
    <row r="222" spans="1:10" s="119" customFormat="1" ht="15.75" outlineLevel="1">
      <c r="A222" s="50" t="s">
        <v>630</v>
      </c>
      <c r="B222" s="151" t="s">
        <v>198</v>
      </c>
      <c r="C222" s="168"/>
      <c r="D222" s="118"/>
      <c r="E222" s="118">
        <v>0</v>
      </c>
      <c r="F222" s="118">
        <f>+E222*$H$7</f>
        <v>0</v>
      </c>
      <c r="G222" s="118">
        <f>+E222+F222</f>
        <v>0</v>
      </c>
      <c r="H222" s="220">
        <f>SUBTOTAL(9,H223:H225)</f>
        <v>0</v>
      </c>
      <c r="I222" s="120"/>
      <c r="J222" s="124">
        <f t="shared" si="41"/>
        <v>0</v>
      </c>
    </row>
    <row r="223" spans="1:10" ht="31.5" outlineLevel="2">
      <c r="A223" s="56" t="s">
        <v>631</v>
      </c>
      <c r="B223" s="53" t="s">
        <v>387</v>
      </c>
      <c r="C223" s="169" t="s">
        <v>80</v>
      </c>
      <c r="D223" s="147">
        <v>32</v>
      </c>
      <c r="E223" s="111"/>
      <c r="F223" s="111">
        <f>+E223*$H$7</f>
        <v>0</v>
      </c>
      <c r="G223" s="111">
        <f>+E223+F223</f>
        <v>0</v>
      </c>
      <c r="H223" s="221">
        <f>D223*G223</f>
        <v>0</v>
      </c>
      <c r="I223" s="54"/>
      <c r="J223" s="124">
        <f t="shared" si="41"/>
        <v>0</v>
      </c>
    </row>
    <row r="224" spans="1:10" ht="15.75" outlineLevel="2">
      <c r="A224" s="56" t="s">
        <v>632</v>
      </c>
      <c r="B224" s="53" t="s">
        <v>388</v>
      </c>
      <c r="C224" s="169" t="s">
        <v>80</v>
      </c>
      <c r="D224" s="147">
        <v>2</v>
      </c>
      <c r="E224" s="111"/>
      <c r="F224" s="111">
        <f>+E224*$H$7</f>
        <v>0</v>
      </c>
      <c r="G224" s="111">
        <f>+E224+F224</f>
        <v>0</v>
      </c>
      <c r="H224" s="221">
        <f>D224*G224</f>
        <v>0</v>
      </c>
      <c r="I224" s="54"/>
      <c r="J224" s="124">
        <f t="shared" si="41"/>
        <v>0</v>
      </c>
    </row>
    <row r="225" spans="1:10" ht="31.5" outlineLevel="2">
      <c r="A225" s="56" t="s">
        <v>825</v>
      </c>
      <c r="B225" s="53" t="s">
        <v>1423</v>
      </c>
      <c r="C225" s="169" t="s">
        <v>3</v>
      </c>
      <c r="D225" s="147">
        <f>173.28+2.24</f>
        <v>175.52</v>
      </c>
      <c r="E225" s="111"/>
      <c r="F225" s="111">
        <f>+E225*$H$7</f>
        <v>0</v>
      </c>
      <c r="G225" s="111">
        <f>+E225+F225</f>
        <v>0</v>
      </c>
      <c r="H225" s="221">
        <f>D225*G225</f>
        <v>0</v>
      </c>
      <c r="I225" s="54"/>
      <c r="J225" s="124">
        <f t="shared" si="41"/>
        <v>0</v>
      </c>
    </row>
    <row r="226" spans="1:10" ht="15.75" outlineLevel="1">
      <c r="A226" s="56"/>
      <c r="B226" s="53"/>
      <c r="C226" s="169"/>
      <c r="D226" s="147"/>
      <c r="E226" s="111"/>
      <c r="F226" s="111"/>
      <c r="G226" s="111"/>
      <c r="H226" s="221"/>
      <c r="I226" s="54"/>
      <c r="J226" s="124"/>
    </row>
    <row r="227" spans="1:10" ht="15.75">
      <c r="A227" s="59" t="s">
        <v>795</v>
      </c>
      <c r="B227" s="60" t="s">
        <v>63</v>
      </c>
      <c r="C227" s="171">
        <v>0</v>
      </c>
      <c r="D227" s="112"/>
      <c r="E227" s="112"/>
      <c r="F227" s="112">
        <f aca="true" t="shared" si="42" ref="F227:F252">+E227*$H$7</f>
        <v>0</v>
      </c>
      <c r="G227" s="112">
        <f aca="true" t="shared" si="43" ref="G227:G243">+E227+F227</f>
        <v>0</v>
      </c>
      <c r="H227" s="223">
        <f>SUBTOTAL(9,H228:H243)</f>
        <v>0</v>
      </c>
      <c r="I227" s="54"/>
      <c r="J227" s="124">
        <f t="shared" si="41"/>
        <v>0</v>
      </c>
    </row>
    <row r="228" spans="1:10" s="119" customFormat="1" ht="15.75" outlineLevel="1">
      <c r="A228" s="50" t="s">
        <v>550</v>
      </c>
      <c r="B228" s="151" t="s">
        <v>1412</v>
      </c>
      <c r="C228" s="168"/>
      <c r="D228" s="118"/>
      <c r="E228" s="118"/>
      <c r="F228" s="118">
        <f t="shared" si="42"/>
        <v>0</v>
      </c>
      <c r="G228" s="118">
        <f t="shared" si="43"/>
        <v>0</v>
      </c>
      <c r="H228" s="220">
        <f>SUBTOTAL(9,H230:H232)</f>
        <v>0</v>
      </c>
      <c r="I228" s="120"/>
      <c r="J228" s="124">
        <f t="shared" si="41"/>
        <v>0</v>
      </c>
    </row>
    <row r="229" spans="1:10" s="119" customFormat="1" ht="15.75" outlineLevel="1">
      <c r="A229" s="57" t="s">
        <v>551</v>
      </c>
      <c r="B229" s="253" t="s">
        <v>1413</v>
      </c>
      <c r="C229" s="168"/>
      <c r="D229" s="118">
        <v>50.34</v>
      </c>
      <c r="E229" s="111"/>
      <c r="F229" s="114">
        <f>+E229*$H$7</f>
        <v>0</v>
      </c>
      <c r="G229" s="114">
        <f>+E229+F229</f>
        <v>0</v>
      </c>
      <c r="H229" s="226">
        <f>D229*G229</f>
        <v>0</v>
      </c>
      <c r="I229" s="120"/>
      <c r="J229" s="124"/>
    </row>
    <row r="230" spans="1:10" ht="30" customHeight="1" outlineLevel="2">
      <c r="A230" s="57" t="s">
        <v>552</v>
      </c>
      <c r="B230" s="53" t="s">
        <v>317</v>
      </c>
      <c r="C230" s="169"/>
      <c r="D230" s="147">
        <v>1678.15</v>
      </c>
      <c r="E230" s="111"/>
      <c r="F230" s="114">
        <f t="shared" si="42"/>
        <v>0</v>
      </c>
      <c r="G230" s="114">
        <f t="shared" si="43"/>
        <v>0</v>
      </c>
      <c r="H230" s="226">
        <f>D230*G230</f>
        <v>0</v>
      </c>
      <c r="I230" s="54"/>
      <c r="J230" s="124">
        <f>+D230*G230</f>
        <v>0</v>
      </c>
    </row>
    <row r="231" spans="1:10" ht="15.75" outlineLevel="2">
      <c r="A231" s="57" t="s">
        <v>553</v>
      </c>
      <c r="B231" s="200" t="s">
        <v>1368</v>
      </c>
      <c r="C231" s="169" t="s">
        <v>3</v>
      </c>
      <c r="D231" s="147">
        <v>67.13</v>
      </c>
      <c r="E231" s="111"/>
      <c r="F231" s="114">
        <f t="shared" si="42"/>
        <v>0</v>
      </c>
      <c r="G231" s="114">
        <f t="shared" si="43"/>
        <v>0</v>
      </c>
      <c r="H231" s="226">
        <f>D231*G231</f>
        <v>0</v>
      </c>
      <c r="I231" s="54"/>
      <c r="J231" s="124">
        <f>+D231*G231</f>
        <v>0</v>
      </c>
    </row>
    <row r="232" spans="1:10" ht="15.75" outlineLevel="2">
      <c r="A232" s="57"/>
      <c r="B232" s="200"/>
      <c r="C232" s="169"/>
      <c r="D232" s="147"/>
      <c r="E232" s="111"/>
      <c r="F232" s="114">
        <f t="shared" si="42"/>
        <v>0</v>
      </c>
      <c r="G232" s="114">
        <f aca="true" t="shared" si="44" ref="G232:G237">+E232+F232</f>
        <v>0</v>
      </c>
      <c r="H232" s="226">
        <f>D232*G232</f>
        <v>0</v>
      </c>
      <c r="I232" s="54"/>
      <c r="J232" s="124">
        <f>+D232*G232</f>
        <v>0</v>
      </c>
    </row>
    <row r="233" spans="1:10" s="122" customFormat="1" ht="15.75" outlineLevel="1">
      <c r="A233" s="50" t="s">
        <v>740</v>
      </c>
      <c r="B233" s="151" t="s">
        <v>223</v>
      </c>
      <c r="C233" s="168"/>
      <c r="D233" s="118"/>
      <c r="E233" s="118"/>
      <c r="F233" s="118">
        <f t="shared" si="42"/>
        <v>0</v>
      </c>
      <c r="G233" s="118">
        <f t="shared" si="44"/>
        <v>0</v>
      </c>
      <c r="H233" s="220">
        <f>SUBTOTAL(9,H234:H236)</f>
        <v>0</v>
      </c>
      <c r="I233" s="120"/>
      <c r="J233" s="124">
        <f t="shared" si="41"/>
        <v>0</v>
      </c>
    </row>
    <row r="234" spans="1:10" ht="31.5" outlineLevel="2">
      <c r="A234" s="56" t="s">
        <v>826</v>
      </c>
      <c r="B234" s="53" t="s">
        <v>92</v>
      </c>
      <c r="C234" s="169" t="s">
        <v>3</v>
      </c>
      <c r="D234" s="147">
        <v>188.8</v>
      </c>
      <c r="E234" s="111"/>
      <c r="F234" s="111">
        <f t="shared" si="42"/>
        <v>0</v>
      </c>
      <c r="G234" s="111">
        <f t="shared" si="44"/>
        <v>0</v>
      </c>
      <c r="H234" s="221">
        <f>D234*G234</f>
        <v>0</v>
      </c>
      <c r="I234" s="54"/>
      <c r="J234" s="124">
        <f t="shared" si="41"/>
        <v>0</v>
      </c>
    </row>
    <row r="235" spans="1:10" ht="15.75" outlineLevel="2">
      <c r="A235" s="57" t="s">
        <v>827</v>
      </c>
      <c r="B235" s="53" t="s">
        <v>39</v>
      </c>
      <c r="C235" s="169" t="s">
        <v>334</v>
      </c>
      <c r="D235" s="147">
        <f>+D234*0.02</f>
        <v>3.7760000000000002</v>
      </c>
      <c r="E235" s="111"/>
      <c r="F235" s="111">
        <f t="shared" si="42"/>
        <v>0</v>
      </c>
      <c r="G235" s="111">
        <f t="shared" si="44"/>
        <v>0</v>
      </c>
      <c r="H235" s="221">
        <f>D235*G235</f>
        <v>0</v>
      </c>
      <c r="I235" s="54"/>
      <c r="J235" s="124">
        <f t="shared" si="41"/>
        <v>0</v>
      </c>
    </row>
    <row r="236" spans="1:10" ht="13.5" customHeight="1" outlineLevel="2">
      <c r="A236" s="52"/>
      <c r="B236" s="63"/>
      <c r="C236" s="174">
        <v>0</v>
      </c>
      <c r="D236" s="114"/>
      <c r="E236" s="114"/>
      <c r="F236" s="114">
        <f t="shared" si="42"/>
        <v>0</v>
      </c>
      <c r="G236" s="114">
        <f t="shared" si="44"/>
        <v>0</v>
      </c>
      <c r="H236" s="226">
        <f>D236*G236</f>
        <v>0</v>
      </c>
      <c r="I236" s="54"/>
      <c r="J236" s="124">
        <f aca="true" t="shared" si="45" ref="J236:J267">+D236*G236</f>
        <v>0</v>
      </c>
    </row>
    <row r="237" spans="1:10" s="122" customFormat="1" ht="15.75" outlineLevel="1">
      <c r="A237" s="50" t="s">
        <v>828</v>
      </c>
      <c r="B237" s="151" t="s">
        <v>629</v>
      </c>
      <c r="C237" s="168"/>
      <c r="D237" s="118"/>
      <c r="E237" s="118"/>
      <c r="F237" s="118">
        <f t="shared" si="42"/>
        <v>0</v>
      </c>
      <c r="G237" s="118">
        <f t="shared" si="44"/>
        <v>0</v>
      </c>
      <c r="H237" s="220">
        <f>SUBTOTAL(9,H238:H243)</f>
        <v>0</v>
      </c>
      <c r="I237" s="120"/>
      <c r="J237" s="124">
        <f t="shared" si="45"/>
        <v>0</v>
      </c>
    </row>
    <row r="238" spans="1:10" ht="15.75" outlineLevel="2">
      <c r="A238" s="56" t="s">
        <v>829</v>
      </c>
      <c r="B238" s="53" t="s">
        <v>621</v>
      </c>
      <c r="C238" s="169" t="s">
        <v>3</v>
      </c>
      <c r="D238" s="147">
        <v>339.43</v>
      </c>
      <c r="E238" s="111"/>
      <c r="F238" s="111">
        <f t="shared" si="42"/>
        <v>0</v>
      </c>
      <c r="G238" s="111">
        <f t="shared" si="43"/>
        <v>0</v>
      </c>
      <c r="H238" s="221">
        <f>D238*G238</f>
        <v>0</v>
      </c>
      <c r="I238" s="54"/>
      <c r="J238" s="124">
        <f t="shared" si="45"/>
        <v>0</v>
      </c>
    </row>
    <row r="239" spans="1:10" ht="15.75" outlineLevel="2">
      <c r="A239" s="57" t="s">
        <v>830</v>
      </c>
      <c r="B239" s="53" t="s">
        <v>39</v>
      </c>
      <c r="C239" s="169" t="s">
        <v>334</v>
      </c>
      <c r="D239" s="147">
        <f>+D238*0.02</f>
        <v>6.788600000000001</v>
      </c>
      <c r="E239" s="111"/>
      <c r="F239" s="111">
        <f t="shared" si="42"/>
        <v>0</v>
      </c>
      <c r="G239" s="111">
        <f t="shared" si="43"/>
        <v>0</v>
      </c>
      <c r="H239" s="221">
        <f>D239*G239</f>
        <v>0</v>
      </c>
      <c r="I239" s="54"/>
      <c r="J239" s="124">
        <f t="shared" si="45"/>
        <v>0</v>
      </c>
    </row>
    <row r="240" spans="1:10" ht="15.75" outlineLevel="2">
      <c r="A240" s="57"/>
      <c r="B240" s="53"/>
      <c r="C240" s="169"/>
      <c r="D240" s="147"/>
      <c r="E240" s="111"/>
      <c r="F240" s="111"/>
      <c r="G240" s="111"/>
      <c r="H240" s="221"/>
      <c r="I240" s="54"/>
      <c r="J240" s="124"/>
    </row>
    <row r="241" spans="1:10" s="122" customFormat="1" ht="15.75" outlineLevel="1">
      <c r="A241" s="50" t="s">
        <v>1414</v>
      </c>
      <c r="B241" s="151" t="s">
        <v>1416</v>
      </c>
      <c r="C241" s="168"/>
      <c r="D241" s="118"/>
      <c r="E241" s="118"/>
      <c r="F241" s="118">
        <f>+E241*$H$7</f>
        <v>0</v>
      </c>
      <c r="G241" s="118">
        <f t="shared" si="43"/>
        <v>0</v>
      </c>
      <c r="H241" s="220">
        <f>SUBTOTAL(9,H242:H246)</f>
        <v>0</v>
      </c>
      <c r="I241" s="120"/>
      <c r="J241" s="124">
        <f>+D241*G241</f>
        <v>0</v>
      </c>
    </row>
    <row r="242" spans="1:10" ht="31.5" outlineLevel="2">
      <c r="A242" s="56" t="s">
        <v>1415</v>
      </c>
      <c r="B242" s="53" t="s">
        <v>1417</v>
      </c>
      <c r="C242" s="169" t="s">
        <v>88</v>
      </c>
      <c r="D242" s="147">
        <v>168</v>
      </c>
      <c r="E242" s="111"/>
      <c r="F242" s="111">
        <f>+E242*$H$7</f>
        <v>0</v>
      </c>
      <c r="G242" s="111">
        <f>+E242+F242</f>
        <v>0</v>
      </c>
      <c r="H242" s="221">
        <f>D242*G242</f>
        <v>0</v>
      </c>
      <c r="I242" s="54"/>
      <c r="J242" s="124">
        <f>+D242*G242</f>
        <v>0</v>
      </c>
    </row>
    <row r="243" spans="1:10" ht="13.5" customHeight="1" outlineLevel="1">
      <c r="A243" s="52"/>
      <c r="B243" s="63"/>
      <c r="C243" s="174">
        <v>0</v>
      </c>
      <c r="D243" s="114"/>
      <c r="E243" s="114"/>
      <c r="F243" s="114">
        <f t="shared" si="42"/>
        <v>0</v>
      </c>
      <c r="G243" s="114">
        <f t="shared" si="43"/>
        <v>0</v>
      </c>
      <c r="H243" s="226">
        <f>D243*G243</f>
        <v>0</v>
      </c>
      <c r="I243" s="54"/>
      <c r="J243" s="124">
        <f t="shared" si="45"/>
        <v>0</v>
      </c>
    </row>
    <row r="244" spans="1:10" ht="15.75" outlineLevel="1">
      <c r="A244" s="59" t="s">
        <v>796</v>
      </c>
      <c r="B244" s="60" t="s">
        <v>37</v>
      </c>
      <c r="C244" s="171"/>
      <c r="D244" s="112"/>
      <c r="E244" s="112"/>
      <c r="F244" s="112">
        <f t="shared" si="42"/>
        <v>0</v>
      </c>
      <c r="G244" s="112">
        <f>+E244+F244</f>
        <v>0</v>
      </c>
      <c r="H244" s="223">
        <f>SUBTOTAL(9,H245:H249)</f>
        <v>0</v>
      </c>
      <c r="I244" s="54"/>
      <c r="J244" s="124">
        <f t="shared" si="45"/>
        <v>0</v>
      </c>
    </row>
    <row r="245" spans="1:10" s="119" customFormat="1" ht="15.75" outlineLevel="1">
      <c r="A245" s="50" t="s">
        <v>554</v>
      </c>
      <c r="B245" s="151" t="s">
        <v>203</v>
      </c>
      <c r="C245" s="168"/>
      <c r="D245" s="118"/>
      <c r="E245" s="118"/>
      <c r="F245" s="118">
        <f t="shared" si="42"/>
        <v>0</v>
      </c>
      <c r="G245" s="118">
        <f>+E245+F245</f>
        <v>0</v>
      </c>
      <c r="H245" s="220">
        <f>SUBTOTAL(9,H246:H250)</f>
        <v>0</v>
      </c>
      <c r="I245" s="120"/>
      <c r="J245" s="124">
        <f t="shared" si="45"/>
        <v>0</v>
      </c>
    </row>
    <row r="246" spans="1:10" ht="47.25" outlineLevel="2">
      <c r="A246" s="52" t="s">
        <v>555</v>
      </c>
      <c r="B246" s="53" t="s">
        <v>1374</v>
      </c>
      <c r="C246" s="169" t="s">
        <v>3</v>
      </c>
      <c r="D246" s="179">
        <v>4822</v>
      </c>
      <c r="E246" s="111"/>
      <c r="F246" s="113">
        <f t="shared" si="42"/>
        <v>0</v>
      </c>
      <c r="G246" s="113">
        <f>+E246+F246</f>
        <v>0</v>
      </c>
      <c r="H246" s="224">
        <f>D246*G246</f>
        <v>0</v>
      </c>
      <c r="I246" s="54"/>
      <c r="J246" s="124">
        <f t="shared" si="45"/>
        <v>0</v>
      </c>
    </row>
    <row r="247" spans="1:10" ht="31.5" outlineLevel="2">
      <c r="A247" s="52" t="s">
        <v>556</v>
      </c>
      <c r="B247" s="53" t="s">
        <v>1375</v>
      </c>
      <c r="C247" s="169" t="s">
        <v>88</v>
      </c>
      <c r="D247" s="179">
        <v>71</v>
      </c>
      <c r="E247" s="111"/>
      <c r="F247" s="113">
        <f t="shared" si="42"/>
        <v>0</v>
      </c>
      <c r="G247" s="113">
        <f>+E247+F247</f>
        <v>0</v>
      </c>
      <c r="H247" s="224">
        <f>D247*G247</f>
        <v>0</v>
      </c>
      <c r="I247" s="54"/>
      <c r="J247" s="124">
        <f t="shared" si="45"/>
        <v>0</v>
      </c>
    </row>
    <row r="248" spans="1:10" ht="15.75" outlineLevel="2">
      <c r="A248" s="52" t="s">
        <v>557</v>
      </c>
      <c r="B248" s="53" t="s">
        <v>81</v>
      </c>
      <c r="C248" s="169" t="s">
        <v>88</v>
      </c>
      <c r="D248" s="179">
        <v>388</v>
      </c>
      <c r="E248" s="111"/>
      <c r="F248" s="113">
        <f t="shared" si="42"/>
        <v>0</v>
      </c>
      <c r="G248" s="113">
        <f>+E248+F248</f>
        <v>0</v>
      </c>
      <c r="H248" s="224">
        <f>D248*G248</f>
        <v>0</v>
      </c>
      <c r="I248" s="54"/>
      <c r="J248" s="124">
        <f t="shared" si="45"/>
        <v>0</v>
      </c>
    </row>
    <row r="249" spans="1:10" ht="15.75" outlineLevel="2">
      <c r="A249" s="52"/>
      <c r="B249" s="53"/>
      <c r="C249" s="169"/>
      <c r="D249" s="179"/>
      <c r="E249" s="111"/>
      <c r="F249" s="113"/>
      <c r="G249" s="113"/>
      <c r="H249" s="224"/>
      <c r="I249" s="54"/>
      <c r="J249" s="124">
        <f t="shared" si="45"/>
        <v>0</v>
      </c>
    </row>
    <row r="250" spans="1:10" ht="15.75" outlineLevel="1">
      <c r="A250" s="52"/>
      <c r="B250" s="58">
        <v>0</v>
      </c>
      <c r="C250" s="173">
        <v>0</v>
      </c>
      <c r="D250" s="113"/>
      <c r="E250" s="113"/>
      <c r="F250" s="113">
        <f t="shared" si="42"/>
        <v>0</v>
      </c>
      <c r="G250" s="113">
        <f>+E250+F250</f>
        <v>0</v>
      </c>
      <c r="H250" s="224">
        <v>0</v>
      </c>
      <c r="I250" s="54"/>
      <c r="J250" s="124">
        <f t="shared" si="45"/>
        <v>0</v>
      </c>
    </row>
    <row r="251" spans="1:10" ht="15.75">
      <c r="A251" s="59" t="s">
        <v>19</v>
      </c>
      <c r="B251" s="60" t="s">
        <v>303</v>
      </c>
      <c r="C251" s="171">
        <v>0</v>
      </c>
      <c r="D251" s="112"/>
      <c r="E251" s="112"/>
      <c r="F251" s="112">
        <f t="shared" si="42"/>
        <v>0</v>
      </c>
      <c r="G251" s="112">
        <f>+E251+F251</f>
        <v>0</v>
      </c>
      <c r="H251" s="223">
        <f>SUBTOTAL(9,H252:H260)</f>
        <v>0</v>
      </c>
      <c r="I251" s="54"/>
      <c r="J251" s="124">
        <f t="shared" si="45"/>
        <v>0</v>
      </c>
    </row>
    <row r="252" spans="1:10" s="119" customFormat="1" ht="15.75" outlineLevel="1">
      <c r="A252" s="50" t="s">
        <v>1322</v>
      </c>
      <c r="B252" s="151" t="s">
        <v>305</v>
      </c>
      <c r="C252" s="168"/>
      <c r="D252" s="118"/>
      <c r="E252" s="118"/>
      <c r="F252" s="118">
        <f t="shared" si="42"/>
        <v>0</v>
      </c>
      <c r="G252" s="118">
        <f>+E252+F252</f>
        <v>0</v>
      </c>
      <c r="H252" s="220">
        <f>SUBTOTAL(9,H253:H260)</f>
        <v>0</v>
      </c>
      <c r="I252" s="120"/>
      <c r="J252" s="124">
        <f t="shared" si="45"/>
        <v>0</v>
      </c>
    </row>
    <row r="253" spans="1:10" ht="15.75" outlineLevel="2">
      <c r="A253" s="52" t="s">
        <v>1323</v>
      </c>
      <c r="B253" s="53" t="s">
        <v>402</v>
      </c>
      <c r="C253" s="169" t="s">
        <v>80</v>
      </c>
      <c r="D253" s="179">
        <v>10</v>
      </c>
      <c r="E253" s="111"/>
      <c r="F253" s="113">
        <f>+E265*$H$7</f>
        <v>0</v>
      </c>
      <c r="G253" s="113">
        <f>+E265+F253</f>
        <v>0</v>
      </c>
      <c r="H253" s="224">
        <f aca="true" t="shared" si="46" ref="H253:H260">D253*G253</f>
        <v>0</v>
      </c>
      <c r="I253" s="54"/>
      <c r="J253" s="124">
        <f t="shared" si="45"/>
        <v>0</v>
      </c>
    </row>
    <row r="254" spans="1:10" ht="15.75" outlineLevel="2">
      <c r="A254" s="52" t="s">
        <v>1324</v>
      </c>
      <c r="B254" s="53" t="s">
        <v>403</v>
      </c>
      <c r="C254" s="169" t="s">
        <v>80</v>
      </c>
      <c r="D254" s="179">
        <v>5</v>
      </c>
      <c r="E254" s="111"/>
      <c r="F254" s="113">
        <f>+E266*$H$7</f>
        <v>0</v>
      </c>
      <c r="G254" s="113">
        <f>+E266+F254</f>
        <v>0</v>
      </c>
      <c r="H254" s="224">
        <f t="shared" si="46"/>
        <v>0</v>
      </c>
      <c r="I254" s="54"/>
      <c r="J254" s="124">
        <f t="shared" si="45"/>
        <v>0</v>
      </c>
    </row>
    <row r="255" spans="1:10" ht="15.75" outlineLevel="2">
      <c r="A255" s="52" t="s">
        <v>1325</v>
      </c>
      <c r="B255" s="53" t="s">
        <v>404</v>
      </c>
      <c r="C255" s="169" t="s">
        <v>80</v>
      </c>
      <c r="D255" s="179">
        <v>19</v>
      </c>
      <c r="E255" s="111"/>
      <c r="F255" s="113">
        <f>+E267*$H$7</f>
        <v>0</v>
      </c>
      <c r="G255" s="113">
        <f>+E267+F255</f>
        <v>0</v>
      </c>
      <c r="H255" s="224">
        <f t="shared" si="46"/>
        <v>0</v>
      </c>
      <c r="I255" s="54"/>
      <c r="J255" s="124">
        <f t="shared" si="45"/>
        <v>0</v>
      </c>
    </row>
    <row r="256" spans="1:10" ht="15.75" outlineLevel="2">
      <c r="A256" s="52" t="s">
        <v>1326</v>
      </c>
      <c r="B256" s="53" t="s">
        <v>405</v>
      </c>
      <c r="C256" s="169" t="s">
        <v>80</v>
      </c>
      <c r="D256" s="179">
        <v>2</v>
      </c>
      <c r="E256" s="111"/>
      <c r="F256" s="113">
        <f>+E268*$H$7</f>
        <v>0</v>
      </c>
      <c r="G256" s="113">
        <f>+E268+F256</f>
        <v>0</v>
      </c>
      <c r="H256" s="224">
        <f t="shared" si="46"/>
        <v>0</v>
      </c>
      <c r="I256" s="54"/>
      <c r="J256" s="124">
        <f t="shared" si="45"/>
        <v>0</v>
      </c>
    </row>
    <row r="257" spans="1:10" ht="15.75" outlineLevel="2">
      <c r="A257" s="52" t="s">
        <v>1327</v>
      </c>
      <c r="B257" s="53" t="s">
        <v>406</v>
      </c>
      <c r="C257" s="169" t="s">
        <v>80</v>
      </c>
      <c r="D257" s="179">
        <v>2</v>
      </c>
      <c r="E257" s="111"/>
      <c r="F257" s="113">
        <f>+E269*$H$7</f>
        <v>0</v>
      </c>
      <c r="G257" s="113">
        <f>+E269+F257</f>
        <v>0</v>
      </c>
      <c r="H257" s="224">
        <f t="shared" si="46"/>
        <v>0</v>
      </c>
      <c r="I257" s="54"/>
      <c r="J257" s="124">
        <f t="shared" si="45"/>
        <v>0</v>
      </c>
    </row>
    <row r="258" spans="1:10" ht="15.75" outlineLevel="2">
      <c r="A258" s="52" t="s">
        <v>1328</v>
      </c>
      <c r="B258" s="53" t="s">
        <v>1059</v>
      </c>
      <c r="C258" s="169" t="s">
        <v>80</v>
      </c>
      <c r="D258" s="179">
        <v>6</v>
      </c>
      <c r="E258" s="111"/>
      <c r="F258" s="113">
        <f aca="true" t="shared" si="47" ref="F258:F271">+E258*$H$7</f>
        <v>0</v>
      </c>
      <c r="G258" s="113">
        <f>+E258+F258</f>
        <v>0</v>
      </c>
      <c r="H258" s="224">
        <f t="shared" si="46"/>
        <v>0</v>
      </c>
      <c r="I258" s="54"/>
      <c r="J258" s="124">
        <f t="shared" si="45"/>
        <v>0</v>
      </c>
    </row>
    <row r="259" spans="1:10" ht="31.5" outlineLevel="2">
      <c r="A259" s="52" t="s">
        <v>1329</v>
      </c>
      <c r="B259" s="53" t="s">
        <v>804</v>
      </c>
      <c r="C259" s="169" t="s">
        <v>3</v>
      </c>
      <c r="D259" s="179">
        <v>45.2</v>
      </c>
      <c r="E259" s="111"/>
      <c r="F259" s="113">
        <f t="shared" si="47"/>
        <v>0</v>
      </c>
      <c r="G259" s="113">
        <f aca="true" t="shared" si="48" ref="G259:G271">+E259+F259</f>
        <v>0</v>
      </c>
      <c r="H259" s="224">
        <f>D259*G259</f>
        <v>0</v>
      </c>
      <c r="I259" s="54"/>
      <c r="J259" s="124">
        <f>+D259*G259</f>
        <v>0</v>
      </c>
    </row>
    <row r="260" spans="1:10" ht="15.75" outlineLevel="1">
      <c r="A260" s="52"/>
      <c r="B260" s="58">
        <v>0</v>
      </c>
      <c r="C260" s="173">
        <v>0</v>
      </c>
      <c r="D260" s="113"/>
      <c r="E260" s="113"/>
      <c r="F260" s="113">
        <f t="shared" si="47"/>
        <v>0</v>
      </c>
      <c r="G260" s="113">
        <f t="shared" si="48"/>
        <v>0</v>
      </c>
      <c r="H260" s="224">
        <f t="shared" si="46"/>
        <v>0</v>
      </c>
      <c r="I260" s="54"/>
      <c r="J260" s="124">
        <f t="shared" si="45"/>
        <v>0</v>
      </c>
    </row>
    <row r="261" spans="1:10" ht="15.75">
      <c r="A261" s="59" t="s">
        <v>20</v>
      </c>
      <c r="B261" s="60" t="s">
        <v>307</v>
      </c>
      <c r="C261" s="171">
        <v>0</v>
      </c>
      <c r="D261" s="112"/>
      <c r="E261" s="112"/>
      <c r="F261" s="112">
        <f t="shared" si="47"/>
        <v>0</v>
      </c>
      <c r="G261" s="112">
        <f t="shared" si="48"/>
        <v>0</v>
      </c>
      <c r="H261" s="223">
        <f>SUBTOTAL(9,H262:H275)</f>
        <v>0</v>
      </c>
      <c r="I261" s="54"/>
      <c r="J261" s="124">
        <f t="shared" si="45"/>
        <v>0</v>
      </c>
    </row>
    <row r="262" spans="1:10" s="119" customFormat="1" ht="15.75" outlineLevel="1">
      <c r="A262" s="50" t="s">
        <v>558</v>
      </c>
      <c r="B262" s="151" t="s">
        <v>218</v>
      </c>
      <c r="C262" s="168"/>
      <c r="D262" s="121"/>
      <c r="E262" s="121"/>
      <c r="F262" s="121">
        <f t="shared" si="47"/>
        <v>0</v>
      </c>
      <c r="G262" s="121">
        <f t="shared" si="48"/>
        <v>0</v>
      </c>
      <c r="H262" s="220">
        <f>SUBTOTAL(9,H263)</f>
        <v>0</v>
      </c>
      <c r="I262" s="120"/>
      <c r="J262" s="124">
        <f t="shared" si="45"/>
        <v>0</v>
      </c>
    </row>
    <row r="263" spans="1:10" ht="31.5" outlineLevel="2">
      <c r="A263" s="56" t="s">
        <v>559</v>
      </c>
      <c r="B263" s="53" t="s">
        <v>220</v>
      </c>
      <c r="C263" s="169" t="s">
        <v>3</v>
      </c>
      <c r="D263" s="147">
        <v>67.2</v>
      </c>
      <c r="E263" s="111"/>
      <c r="F263" s="111">
        <f t="shared" si="47"/>
        <v>0</v>
      </c>
      <c r="G263" s="111">
        <f t="shared" si="48"/>
        <v>0</v>
      </c>
      <c r="H263" s="221">
        <f>D263*G263</f>
        <v>0</v>
      </c>
      <c r="I263" s="54"/>
      <c r="J263" s="124">
        <f t="shared" si="45"/>
        <v>0</v>
      </c>
    </row>
    <row r="264" spans="1:10" s="119" customFormat="1" ht="15.75" outlineLevel="1">
      <c r="A264" s="50" t="s">
        <v>831</v>
      </c>
      <c r="B264" s="151" t="s">
        <v>309</v>
      </c>
      <c r="C264" s="168"/>
      <c r="D264" s="118"/>
      <c r="E264" s="118"/>
      <c r="F264" s="118">
        <f t="shared" si="47"/>
        <v>0</v>
      </c>
      <c r="G264" s="118">
        <f t="shared" si="48"/>
        <v>0</v>
      </c>
      <c r="H264" s="220">
        <f>SUBTOTAL(9,H265:H272)</f>
        <v>0</v>
      </c>
      <c r="I264" s="120"/>
      <c r="J264" s="124">
        <f t="shared" si="45"/>
        <v>0</v>
      </c>
    </row>
    <row r="265" spans="1:10" ht="44.25" customHeight="1" outlineLevel="2">
      <c r="A265" s="52" t="s">
        <v>832</v>
      </c>
      <c r="B265" s="182" t="s">
        <v>803</v>
      </c>
      <c r="C265" s="183" t="s">
        <v>80</v>
      </c>
      <c r="D265" s="179">
        <v>5</v>
      </c>
      <c r="E265" s="111"/>
      <c r="F265" s="111">
        <f t="shared" si="47"/>
        <v>0</v>
      </c>
      <c r="G265" s="111">
        <f>+E265+F265</f>
        <v>0</v>
      </c>
      <c r="H265" s="221">
        <f aca="true" t="shared" si="49" ref="H265:H271">D265*G265</f>
        <v>0</v>
      </c>
      <c r="I265" s="54"/>
      <c r="J265" s="124">
        <f>+D265*G265</f>
        <v>0</v>
      </c>
    </row>
    <row r="266" spans="1:10" ht="44.25" customHeight="1" outlineLevel="2">
      <c r="A266" s="52" t="s">
        <v>833</v>
      </c>
      <c r="B266" s="182" t="s">
        <v>801</v>
      </c>
      <c r="C266" s="183" t="s">
        <v>80</v>
      </c>
      <c r="D266" s="179">
        <v>1</v>
      </c>
      <c r="E266" s="111"/>
      <c r="F266" s="111">
        <f t="shared" si="47"/>
        <v>0</v>
      </c>
      <c r="G266" s="111">
        <f>+E266+F266</f>
        <v>0</v>
      </c>
      <c r="H266" s="221">
        <f t="shared" si="49"/>
        <v>0</v>
      </c>
      <c r="I266" s="54"/>
      <c r="J266" s="124">
        <f t="shared" si="45"/>
        <v>0</v>
      </c>
    </row>
    <row r="267" spans="1:10" ht="44.25" customHeight="1" outlineLevel="2">
      <c r="A267" s="52" t="s">
        <v>834</v>
      </c>
      <c r="B267" s="182" t="s">
        <v>799</v>
      </c>
      <c r="C267" s="183" t="s">
        <v>80</v>
      </c>
      <c r="D267" s="179">
        <v>3</v>
      </c>
      <c r="E267" s="111"/>
      <c r="F267" s="111">
        <f t="shared" si="47"/>
        <v>0</v>
      </c>
      <c r="G267" s="111">
        <f>+E267+F267</f>
        <v>0</v>
      </c>
      <c r="H267" s="221">
        <f t="shared" si="49"/>
        <v>0</v>
      </c>
      <c r="I267" s="54"/>
      <c r="J267" s="124">
        <f t="shared" si="45"/>
        <v>0</v>
      </c>
    </row>
    <row r="268" spans="1:10" ht="44.25" customHeight="1" outlineLevel="2">
      <c r="A268" s="52" t="s">
        <v>835</v>
      </c>
      <c r="B268" s="182" t="s">
        <v>1147</v>
      </c>
      <c r="C268" s="183" t="s">
        <v>80</v>
      </c>
      <c r="D268" s="179">
        <v>2</v>
      </c>
      <c r="E268" s="111"/>
      <c r="F268" s="111">
        <f t="shared" si="47"/>
        <v>0</v>
      </c>
      <c r="G268" s="111">
        <f>+E268+F268</f>
        <v>0</v>
      </c>
      <c r="H268" s="221">
        <f t="shared" si="49"/>
        <v>0</v>
      </c>
      <c r="I268" s="54"/>
      <c r="J268" s="124">
        <f>+D268*G268</f>
        <v>0</v>
      </c>
    </row>
    <row r="269" spans="1:10" ht="44.25" customHeight="1" outlineLevel="2">
      <c r="A269" s="52" t="s">
        <v>836</v>
      </c>
      <c r="B269" s="182" t="s">
        <v>1148</v>
      </c>
      <c r="C269" s="183" t="s">
        <v>80</v>
      </c>
      <c r="D269" s="179">
        <v>2</v>
      </c>
      <c r="E269" s="111"/>
      <c r="F269" s="111">
        <f t="shared" si="47"/>
        <v>0</v>
      </c>
      <c r="G269" s="111">
        <f>+E269+F269</f>
        <v>0</v>
      </c>
      <c r="H269" s="221">
        <f t="shared" si="49"/>
        <v>0</v>
      </c>
      <c r="I269" s="54"/>
      <c r="J269" s="124">
        <f>+D269*G269</f>
        <v>0</v>
      </c>
    </row>
    <row r="270" spans="1:10" ht="44.25" customHeight="1" outlineLevel="2">
      <c r="A270" s="52" t="s">
        <v>837</v>
      </c>
      <c r="B270" s="53" t="s">
        <v>409</v>
      </c>
      <c r="C270" s="169" t="s">
        <v>408</v>
      </c>
      <c r="D270" s="113">
        <f>+D265</f>
        <v>5</v>
      </c>
      <c r="E270" s="111"/>
      <c r="F270" s="113">
        <f t="shared" si="47"/>
        <v>0</v>
      </c>
      <c r="G270" s="113">
        <f t="shared" si="48"/>
        <v>0</v>
      </c>
      <c r="H270" s="224">
        <f t="shared" si="49"/>
        <v>0</v>
      </c>
      <c r="I270" s="54"/>
      <c r="J270" s="124">
        <f>+D270*G270</f>
        <v>0</v>
      </c>
    </row>
    <row r="271" spans="1:10" ht="44.25" customHeight="1" outlineLevel="2">
      <c r="A271" s="52" t="s">
        <v>838</v>
      </c>
      <c r="B271" s="53" t="s">
        <v>407</v>
      </c>
      <c r="C271" s="169" t="s">
        <v>408</v>
      </c>
      <c r="D271" s="113">
        <f>+D266+D267+D268</f>
        <v>6</v>
      </c>
      <c r="E271" s="111"/>
      <c r="F271" s="113">
        <f t="shared" si="47"/>
        <v>0</v>
      </c>
      <c r="G271" s="113">
        <f t="shared" si="48"/>
        <v>0</v>
      </c>
      <c r="H271" s="224">
        <f t="shared" si="49"/>
        <v>0</v>
      </c>
      <c r="I271" s="54"/>
      <c r="J271" s="124">
        <f aca="true" t="shared" si="50" ref="J271:J279">+D271*G271</f>
        <v>0</v>
      </c>
    </row>
    <row r="272" spans="1:10" ht="15.75" outlineLevel="2">
      <c r="A272" s="52"/>
      <c r="B272" s="53"/>
      <c r="C272" s="169"/>
      <c r="D272" s="113"/>
      <c r="E272" s="111"/>
      <c r="F272" s="113"/>
      <c r="G272" s="113"/>
      <c r="H272" s="224"/>
      <c r="I272" s="54"/>
      <c r="J272" s="124">
        <f t="shared" si="50"/>
        <v>0</v>
      </c>
    </row>
    <row r="273" spans="1:10" s="119" customFormat="1" ht="15.75" outlineLevel="1">
      <c r="A273" s="50" t="s">
        <v>839</v>
      </c>
      <c r="B273" s="151" t="s">
        <v>311</v>
      </c>
      <c r="C273" s="168"/>
      <c r="D273" s="118"/>
      <c r="E273" s="118"/>
      <c r="F273" s="118">
        <f aca="true" t="shared" si="51" ref="F273:F279">+E273*$H$7</f>
        <v>0</v>
      </c>
      <c r="G273" s="118">
        <f aca="true" t="shared" si="52" ref="G273:G281">+E273+F273</f>
        <v>0</v>
      </c>
      <c r="H273" s="220">
        <f>SUBTOTAL(9,H274:H275)</f>
        <v>0</v>
      </c>
      <c r="I273" s="120"/>
      <c r="J273" s="124">
        <f t="shared" si="50"/>
        <v>0</v>
      </c>
    </row>
    <row r="274" spans="1:10" ht="31.5" outlineLevel="2">
      <c r="A274" s="52" t="s">
        <v>840</v>
      </c>
      <c r="B274" s="53" t="s">
        <v>429</v>
      </c>
      <c r="C274" s="169" t="s">
        <v>88</v>
      </c>
      <c r="D274" s="113">
        <f>6.9+12.83+6.9</f>
        <v>26.630000000000003</v>
      </c>
      <c r="E274" s="111"/>
      <c r="F274" s="113">
        <f t="shared" si="51"/>
        <v>0</v>
      </c>
      <c r="G274" s="113">
        <f t="shared" si="52"/>
        <v>0</v>
      </c>
      <c r="H274" s="224">
        <f>D274*G274</f>
        <v>0</v>
      </c>
      <c r="I274" s="54"/>
      <c r="J274" s="124">
        <f t="shared" si="50"/>
        <v>0</v>
      </c>
    </row>
    <row r="275" spans="1:10" ht="15.75" outlineLevel="1">
      <c r="A275" s="52"/>
      <c r="B275" s="58">
        <v>0</v>
      </c>
      <c r="C275" s="173">
        <v>0</v>
      </c>
      <c r="D275" s="113"/>
      <c r="E275" s="113"/>
      <c r="F275" s="113">
        <f t="shared" si="51"/>
        <v>0</v>
      </c>
      <c r="G275" s="113">
        <f t="shared" si="52"/>
        <v>0</v>
      </c>
      <c r="H275" s="224">
        <v>0</v>
      </c>
      <c r="I275" s="54"/>
      <c r="J275" s="124">
        <f t="shared" si="50"/>
        <v>0</v>
      </c>
    </row>
    <row r="276" spans="1:10" ht="15.75">
      <c r="A276" s="59" t="s">
        <v>22</v>
      </c>
      <c r="B276" s="60" t="s">
        <v>312</v>
      </c>
      <c r="C276" s="171">
        <v>0</v>
      </c>
      <c r="D276" s="112"/>
      <c r="E276" s="112"/>
      <c r="F276" s="112">
        <f t="shared" si="51"/>
        <v>0</v>
      </c>
      <c r="G276" s="112">
        <f t="shared" si="52"/>
        <v>0</v>
      </c>
      <c r="H276" s="223">
        <f>SUBTOTAL(9,H277:H279)</f>
        <v>0</v>
      </c>
      <c r="I276" s="54"/>
      <c r="J276" s="124">
        <f t="shared" si="50"/>
        <v>0</v>
      </c>
    </row>
    <row r="277" spans="1:10" s="119" customFormat="1" ht="15.75" outlineLevel="1">
      <c r="A277" s="50" t="s">
        <v>1160</v>
      </c>
      <c r="B277" s="151" t="s">
        <v>313</v>
      </c>
      <c r="C277" s="168"/>
      <c r="D277" s="118"/>
      <c r="E277" s="118"/>
      <c r="F277" s="118">
        <f t="shared" si="51"/>
        <v>0</v>
      </c>
      <c r="G277" s="118">
        <f t="shared" si="52"/>
        <v>0</v>
      </c>
      <c r="H277" s="220">
        <f>SUBTOTAL(9,H278:H278)</f>
        <v>0</v>
      </c>
      <c r="I277" s="120"/>
      <c r="J277" s="124">
        <f t="shared" si="50"/>
        <v>0</v>
      </c>
    </row>
    <row r="278" spans="1:10" ht="15.75" outlineLevel="2">
      <c r="A278" s="52" t="s">
        <v>1161</v>
      </c>
      <c r="B278" s="53" t="s">
        <v>428</v>
      </c>
      <c r="C278" s="169" t="s">
        <v>3</v>
      </c>
      <c r="D278" s="111">
        <f>29.04+4.8</f>
        <v>33.839999999999996</v>
      </c>
      <c r="E278" s="111"/>
      <c r="F278" s="113">
        <f t="shared" si="51"/>
        <v>0</v>
      </c>
      <c r="G278" s="113">
        <f t="shared" si="52"/>
        <v>0</v>
      </c>
      <c r="H278" s="224">
        <f>D278*G278</f>
        <v>0</v>
      </c>
      <c r="I278" s="54"/>
      <c r="J278" s="124">
        <f t="shared" si="50"/>
        <v>0</v>
      </c>
    </row>
    <row r="279" spans="1:10" ht="15.75" outlineLevel="1">
      <c r="A279" s="52"/>
      <c r="B279" s="58">
        <v>0</v>
      </c>
      <c r="C279" s="173">
        <v>0</v>
      </c>
      <c r="D279" s="113"/>
      <c r="E279" s="113"/>
      <c r="F279" s="113">
        <f t="shared" si="51"/>
        <v>0</v>
      </c>
      <c r="G279" s="113">
        <f t="shared" si="52"/>
        <v>0</v>
      </c>
      <c r="H279" s="224">
        <v>0</v>
      </c>
      <c r="I279" s="54"/>
      <c r="J279" s="124">
        <f t="shared" si="50"/>
        <v>0</v>
      </c>
    </row>
    <row r="280" spans="1:10" ht="15.75">
      <c r="A280" s="59" t="s">
        <v>1</v>
      </c>
      <c r="B280" s="60" t="s">
        <v>272</v>
      </c>
      <c r="C280" s="171">
        <v>0</v>
      </c>
      <c r="D280" s="112"/>
      <c r="E280" s="112"/>
      <c r="F280" s="112">
        <f aca="true" t="shared" si="53" ref="F280:F298">+E280*$H$7</f>
        <v>0</v>
      </c>
      <c r="G280" s="112">
        <f t="shared" si="52"/>
        <v>0</v>
      </c>
      <c r="H280" s="223">
        <f>SUBTOTAL(9,H281:H295)</f>
        <v>0</v>
      </c>
      <c r="I280" s="54"/>
      <c r="J280" s="124">
        <f aca="true" t="shared" si="54" ref="J280:J285">+D280*G280</f>
        <v>0</v>
      </c>
    </row>
    <row r="281" spans="1:10" s="119" customFormat="1" ht="15.75" outlineLevel="2">
      <c r="A281" s="50" t="s">
        <v>842</v>
      </c>
      <c r="B281" s="151" t="s">
        <v>714</v>
      </c>
      <c r="C281" s="168"/>
      <c r="D281" s="118"/>
      <c r="E281" s="118"/>
      <c r="F281" s="118">
        <f t="shared" si="53"/>
        <v>0</v>
      </c>
      <c r="G281" s="118">
        <f t="shared" si="52"/>
        <v>0</v>
      </c>
      <c r="H281" s="220">
        <f>SUBTOTAL(9,H282:H295)</f>
        <v>0</v>
      </c>
      <c r="I281" s="120"/>
      <c r="J281" s="124">
        <f t="shared" si="54"/>
        <v>0</v>
      </c>
    </row>
    <row r="282" spans="1:10" ht="15.75" outlineLevel="2">
      <c r="A282" s="57" t="s">
        <v>1162</v>
      </c>
      <c r="B282" s="53" t="s">
        <v>234</v>
      </c>
      <c r="C282" s="169" t="s">
        <v>80</v>
      </c>
      <c r="D282" s="181">
        <v>133</v>
      </c>
      <c r="E282" s="111"/>
      <c r="F282" s="113">
        <f t="shared" si="53"/>
        <v>0</v>
      </c>
      <c r="G282" s="113">
        <f aca="true" t="shared" si="55" ref="G282:G294">+E282+F282</f>
        <v>0</v>
      </c>
      <c r="H282" s="224">
        <f aca="true" t="shared" si="56" ref="H282:H294">D282*G282</f>
        <v>0</v>
      </c>
      <c r="I282" s="54"/>
      <c r="J282" s="124">
        <f t="shared" si="54"/>
        <v>0</v>
      </c>
    </row>
    <row r="283" spans="1:10" ht="15.75" outlineLevel="2">
      <c r="A283" s="57" t="s">
        <v>698</v>
      </c>
      <c r="B283" s="53" t="s">
        <v>238</v>
      </c>
      <c r="C283" s="169" t="s">
        <v>88</v>
      </c>
      <c r="D283" s="181">
        <f>200*6</f>
        <v>1200</v>
      </c>
      <c r="E283" s="111"/>
      <c r="F283" s="113">
        <f t="shared" si="53"/>
        <v>0</v>
      </c>
      <c r="G283" s="113">
        <f t="shared" si="55"/>
        <v>0</v>
      </c>
      <c r="H283" s="224">
        <f t="shared" si="56"/>
        <v>0</v>
      </c>
      <c r="I283" s="54"/>
      <c r="J283" s="124">
        <f t="shared" si="54"/>
        <v>0</v>
      </c>
    </row>
    <row r="284" spans="1:10" ht="15.75" outlineLevel="2">
      <c r="A284" s="57" t="s">
        <v>1163</v>
      </c>
      <c r="B284" s="53" t="s">
        <v>916</v>
      </c>
      <c r="C284" s="169" t="s">
        <v>88</v>
      </c>
      <c r="D284" s="181">
        <v>100</v>
      </c>
      <c r="E284" s="111"/>
      <c r="F284" s="113">
        <f t="shared" si="53"/>
        <v>0</v>
      </c>
      <c r="G284" s="113">
        <f>+E284+F284</f>
        <v>0</v>
      </c>
      <c r="H284" s="224">
        <f>D284*G284</f>
        <v>0</v>
      </c>
      <c r="I284" s="54"/>
      <c r="J284" s="124">
        <f t="shared" si="54"/>
        <v>0</v>
      </c>
    </row>
    <row r="285" spans="1:10" ht="15.75" outlineLevel="2">
      <c r="A285" s="57" t="s">
        <v>1164</v>
      </c>
      <c r="B285" s="53" t="s">
        <v>670</v>
      </c>
      <c r="C285" s="169" t="s">
        <v>88</v>
      </c>
      <c r="D285" s="181">
        <v>400</v>
      </c>
      <c r="E285" s="111"/>
      <c r="F285" s="113">
        <f t="shared" si="53"/>
        <v>0</v>
      </c>
      <c r="G285" s="113">
        <f t="shared" si="55"/>
        <v>0</v>
      </c>
      <c r="H285" s="224">
        <f t="shared" si="56"/>
        <v>0</v>
      </c>
      <c r="I285" s="54"/>
      <c r="J285" s="124">
        <f t="shared" si="54"/>
        <v>0</v>
      </c>
    </row>
    <row r="286" spans="1:10" ht="15.75" outlineLevel="2">
      <c r="A286" s="57" t="s">
        <v>1165</v>
      </c>
      <c r="B286" s="53" t="s">
        <v>232</v>
      </c>
      <c r="C286" s="169" t="s">
        <v>88</v>
      </c>
      <c r="D286" s="181">
        <v>500</v>
      </c>
      <c r="E286" s="111"/>
      <c r="F286" s="113">
        <f t="shared" si="53"/>
        <v>0</v>
      </c>
      <c r="G286" s="113">
        <f t="shared" si="55"/>
        <v>0</v>
      </c>
      <c r="H286" s="224">
        <f t="shared" si="56"/>
        <v>0</v>
      </c>
      <c r="I286" s="54"/>
      <c r="J286" s="124">
        <f aca="true" t="shared" si="57" ref="J286:J298">+D286*G286</f>
        <v>0</v>
      </c>
    </row>
    <row r="287" spans="1:10" ht="31.5" outlineLevel="2">
      <c r="A287" s="57" t="s">
        <v>1166</v>
      </c>
      <c r="B287" s="53" t="s">
        <v>674</v>
      </c>
      <c r="C287" s="169" t="s">
        <v>80</v>
      </c>
      <c r="D287" s="181">
        <v>10</v>
      </c>
      <c r="E287" s="111"/>
      <c r="F287" s="113">
        <f t="shared" si="53"/>
        <v>0</v>
      </c>
      <c r="G287" s="113">
        <f t="shared" si="55"/>
        <v>0</v>
      </c>
      <c r="H287" s="224">
        <f t="shared" si="56"/>
        <v>0</v>
      </c>
      <c r="I287" s="54"/>
      <c r="J287" s="124">
        <f t="shared" si="57"/>
        <v>0</v>
      </c>
    </row>
    <row r="288" spans="1:10" ht="15.75" outlineLevel="2">
      <c r="A288" s="57" t="s">
        <v>1167</v>
      </c>
      <c r="B288" s="53" t="s">
        <v>672</v>
      </c>
      <c r="C288" s="169" t="s">
        <v>80</v>
      </c>
      <c r="D288" s="181">
        <v>10</v>
      </c>
      <c r="E288" s="111"/>
      <c r="F288" s="113">
        <f t="shared" si="53"/>
        <v>0</v>
      </c>
      <c r="G288" s="113">
        <f t="shared" si="55"/>
        <v>0</v>
      </c>
      <c r="H288" s="224">
        <f t="shared" si="56"/>
        <v>0</v>
      </c>
      <c r="I288" s="54"/>
      <c r="J288" s="124">
        <f t="shared" si="57"/>
        <v>0</v>
      </c>
    </row>
    <row r="289" spans="1:10" ht="31.5" outlineLevel="2">
      <c r="A289" s="57" t="s">
        <v>1168</v>
      </c>
      <c r="B289" s="53" t="s">
        <v>240</v>
      </c>
      <c r="C289" s="169" t="s">
        <v>80</v>
      </c>
      <c r="D289" s="181">
        <v>20</v>
      </c>
      <c r="E289" s="111"/>
      <c r="F289" s="113">
        <f t="shared" si="53"/>
        <v>0</v>
      </c>
      <c r="G289" s="113">
        <f t="shared" si="55"/>
        <v>0</v>
      </c>
      <c r="H289" s="224">
        <f t="shared" si="56"/>
        <v>0</v>
      </c>
      <c r="I289" s="54"/>
      <c r="J289" s="124">
        <f t="shared" si="57"/>
        <v>0</v>
      </c>
    </row>
    <row r="290" spans="1:10" ht="15.75" outlineLevel="2">
      <c r="A290" s="57" t="s">
        <v>1169</v>
      </c>
      <c r="B290" s="53" t="s">
        <v>918</v>
      </c>
      <c r="C290" s="169" t="s">
        <v>80</v>
      </c>
      <c r="D290" s="181">
        <v>10</v>
      </c>
      <c r="E290" s="111"/>
      <c r="F290" s="113">
        <f t="shared" si="53"/>
        <v>0</v>
      </c>
      <c r="G290" s="113">
        <f t="shared" si="55"/>
        <v>0</v>
      </c>
      <c r="H290" s="224">
        <f t="shared" si="56"/>
        <v>0</v>
      </c>
      <c r="I290" s="54"/>
      <c r="J290" s="124">
        <f t="shared" si="57"/>
        <v>0</v>
      </c>
    </row>
    <row r="291" spans="1:10" ht="15.75" outlineLevel="2">
      <c r="A291" s="57" t="s">
        <v>1170</v>
      </c>
      <c r="B291" s="53" t="s">
        <v>920</v>
      </c>
      <c r="C291" s="169" t="s">
        <v>80</v>
      </c>
      <c r="D291" s="181">
        <v>20</v>
      </c>
      <c r="E291" s="111"/>
      <c r="F291" s="113">
        <f t="shared" si="53"/>
        <v>0</v>
      </c>
      <c r="G291" s="113">
        <f t="shared" si="55"/>
        <v>0</v>
      </c>
      <c r="H291" s="224">
        <f t="shared" si="56"/>
        <v>0</v>
      </c>
      <c r="I291" s="54"/>
      <c r="J291" s="124">
        <f t="shared" si="57"/>
        <v>0</v>
      </c>
    </row>
    <row r="292" spans="1:10" ht="15.75" outlineLevel="2">
      <c r="A292" s="57" t="s">
        <v>1171</v>
      </c>
      <c r="B292" s="53" t="s">
        <v>922</v>
      </c>
      <c r="C292" s="169" t="s">
        <v>80</v>
      </c>
      <c r="D292" s="181">
        <v>10</v>
      </c>
      <c r="E292" s="111"/>
      <c r="F292" s="113">
        <f t="shared" si="53"/>
        <v>0</v>
      </c>
      <c r="G292" s="113">
        <f t="shared" si="55"/>
        <v>0</v>
      </c>
      <c r="H292" s="224">
        <f t="shared" si="56"/>
        <v>0</v>
      </c>
      <c r="I292" s="54"/>
      <c r="J292" s="124">
        <f t="shared" si="57"/>
        <v>0</v>
      </c>
    </row>
    <row r="293" spans="1:10" ht="15.75" outlineLevel="2">
      <c r="A293" s="57" t="s">
        <v>1172</v>
      </c>
      <c r="B293" s="53" t="s">
        <v>924</v>
      </c>
      <c r="C293" s="169" t="s">
        <v>80</v>
      </c>
      <c r="D293" s="181">
        <v>35</v>
      </c>
      <c r="E293" s="111"/>
      <c r="F293" s="113">
        <f t="shared" si="53"/>
        <v>0</v>
      </c>
      <c r="G293" s="113">
        <f t="shared" si="55"/>
        <v>0</v>
      </c>
      <c r="H293" s="224">
        <f t="shared" si="56"/>
        <v>0</v>
      </c>
      <c r="I293" s="54"/>
      <c r="J293" s="124">
        <f t="shared" si="57"/>
        <v>0</v>
      </c>
    </row>
    <row r="294" spans="1:10" ht="15.75" outlineLevel="2">
      <c r="A294" s="57" t="s">
        <v>1173</v>
      </c>
      <c r="B294" s="53" t="s">
        <v>1049</v>
      </c>
      <c r="C294" s="169" t="s">
        <v>80</v>
      </c>
      <c r="D294" s="181">
        <v>20</v>
      </c>
      <c r="E294" s="111"/>
      <c r="F294" s="113">
        <f t="shared" si="53"/>
        <v>0</v>
      </c>
      <c r="G294" s="113">
        <f t="shared" si="55"/>
        <v>0</v>
      </c>
      <c r="H294" s="224">
        <f t="shared" si="56"/>
        <v>0</v>
      </c>
      <c r="I294" s="54"/>
      <c r="J294" s="124">
        <f t="shared" si="57"/>
        <v>0</v>
      </c>
    </row>
    <row r="295" spans="1:10" ht="15.75" outlineLevel="1">
      <c r="A295" s="52"/>
      <c r="B295" s="227"/>
      <c r="C295" s="175">
        <v>0</v>
      </c>
      <c r="D295" s="113"/>
      <c r="E295" s="113"/>
      <c r="F295" s="113">
        <f t="shared" si="53"/>
        <v>0</v>
      </c>
      <c r="G295" s="113">
        <f>+E295+F295</f>
        <v>0</v>
      </c>
      <c r="H295" s="224">
        <f>D295*G295</f>
        <v>0</v>
      </c>
      <c r="I295" s="54"/>
      <c r="J295" s="124">
        <f t="shared" si="57"/>
        <v>0</v>
      </c>
    </row>
    <row r="296" spans="1:10" ht="15.75">
      <c r="A296" s="59" t="s">
        <v>2</v>
      </c>
      <c r="B296" s="60" t="s">
        <v>23</v>
      </c>
      <c r="C296" s="171">
        <v>0</v>
      </c>
      <c r="D296" s="112"/>
      <c r="E296" s="112"/>
      <c r="F296" s="112">
        <f t="shared" si="53"/>
        <v>0</v>
      </c>
      <c r="G296" s="112">
        <f>+E296+F296</f>
        <v>0</v>
      </c>
      <c r="H296" s="223">
        <f>SUBTOTAL(9,H297:H395)</f>
        <v>0</v>
      </c>
      <c r="I296" s="54"/>
      <c r="J296" s="124">
        <f t="shared" si="57"/>
        <v>0</v>
      </c>
    </row>
    <row r="297" spans="1:10" s="119" customFormat="1" ht="15.75" outlineLevel="1">
      <c r="A297" s="50" t="s">
        <v>1174</v>
      </c>
      <c r="B297" s="151" t="s">
        <v>1022</v>
      </c>
      <c r="C297" s="168"/>
      <c r="D297" s="118"/>
      <c r="E297" s="118"/>
      <c r="F297" s="118">
        <f t="shared" si="53"/>
        <v>0</v>
      </c>
      <c r="G297" s="118">
        <f>+E297+F297</f>
        <v>0</v>
      </c>
      <c r="H297" s="220">
        <f>SUBTOTAL(9,H298:H373)</f>
        <v>0</v>
      </c>
      <c r="I297" s="120"/>
      <c r="J297" s="124">
        <f t="shared" si="57"/>
        <v>0</v>
      </c>
    </row>
    <row r="298" spans="1:10" ht="47.25" outlineLevel="2">
      <c r="A298" s="57" t="s">
        <v>560</v>
      </c>
      <c r="B298" s="53" t="s">
        <v>1023</v>
      </c>
      <c r="C298" s="169" t="s">
        <v>1043</v>
      </c>
      <c r="D298" s="113">
        <v>1</v>
      </c>
      <c r="E298" s="111"/>
      <c r="F298" s="113">
        <f t="shared" si="53"/>
        <v>0</v>
      </c>
      <c r="G298" s="113">
        <f>+E298+F298</f>
        <v>0</v>
      </c>
      <c r="H298" s="224">
        <f>D298*G298</f>
        <v>0</v>
      </c>
      <c r="I298" s="54"/>
      <c r="J298" s="124">
        <f t="shared" si="57"/>
        <v>0</v>
      </c>
    </row>
    <row r="299" spans="1:10" ht="15.75" outlineLevel="2">
      <c r="A299" s="50"/>
      <c r="B299" s="53"/>
      <c r="C299" s="169"/>
      <c r="D299" s="113"/>
      <c r="E299" s="111"/>
      <c r="F299" s="113"/>
      <c r="G299" s="113"/>
      <c r="H299" s="224"/>
      <c r="I299" s="54"/>
      <c r="J299" s="124"/>
    </row>
    <row r="300" spans="1:10" ht="15.75" outlineLevel="2">
      <c r="A300" s="50"/>
      <c r="B300" s="53" t="s">
        <v>1024</v>
      </c>
      <c r="C300" s="169"/>
      <c r="D300" s="113"/>
      <c r="E300" s="111"/>
      <c r="F300" s="113"/>
      <c r="G300" s="113"/>
      <c r="H300" s="224"/>
      <c r="I300" s="54"/>
      <c r="J300" s="124"/>
    </row>
    <row r="301" spans="1:10" ht="15.75" outlineLevel="2">
      <c r="A301" s="50"/>
      <c r="B301" s="53" t="s">
        <v>1025</v>
      </c>
      <c r="C301" s="169"/>
      <c r="D301" s="113"/>
      <c r="E301" s="111"/>
      <c r="F301" s="113"/>
      <c r="G301" s="113"/>
      <c r="H301" s="224"/>
      <c r="I301" s="54"/>
      <c r="J301" s="124"/>
    </row>
    <row r="302" spans="1:10" ht="15.75" outlineLevel="2">
      <c r="A302" s="50"/>
      <c r="B302" s="53" t="s">
        <v>1026</v>
      </c>
      <c r="C302" s="169"/>
      <c r="D302" s="113"/>
      <c r="E302" s="111"/>
      <c r="F302" s="113"/>
      <c r="G302" s="113"/>
      <c r="H302" s="224"/>
      <c r="I302" s="54"/>
      <c r="J302" s="124"/>
    </row>
    <row r="303" spans="1:10" ht="15.75" outlineLevel="2">
      <c r="A303" s="50"/>
      <c r="B303" s="53" t="s">
        <v>1027</v>
      </c>
      <c r="C303" s="169"/>
      <c r="D303" s="113"/>
      <c r="E303" s="111"/>
      <c r="F303" s="113"/>
      <c r="G303" s="113"/>
      <c r="H303" s="224"/>
      <c r="I303" s="54"/>
      <c r="J303" s="124"/>
    </row>
    <row r="304" spans="1:10" ht="15.75" outlineLevel="2">
      <c r="A304" s="50"/>
      <c r="B304" s="53" t="s">
        <v>1028</v>
      </c>
      <c r="C304" s="169"/>
      <c r="D304" s="113"/>
      <c r="E304" s="111"/>
      <c r="F304" s="113"/>
      <c r="G304" s="113"/>
      <c r="H304" s="224"/>
      <c r="I304" s="54"/>
      <c r="J304" s="124"/>
    </row>
    <row r="305" spans="1:10" ht="15.75" outlineLevel="2">
      <c r="A305" s="50"/>
      <c r="B305" s="53"/>
      <c r="C305" s="169"/>
      <c r="D305" s="113"/>
      <c r="E305" s="111"/>
      <c r="F305" s="113"/>
      <c r="G305" s="113"/>
      <c r="H305" s="224"/>
      <c r="I305" s="54"/>
      <c r="J305" s="124"/>
    </row>
    <row r="306" spans="1:10" ht="15.75" outlineLevel="2">
      <c r="A306" s="50"/>
      <c r="B306" s="53" t="s">
        <v>1029</v>
      </c>
      <c r="C306" s="169"/>
      <c r="D306" s="113"/>
      <c r="E306" s="111"/>
      <c r="F306" s="113"/>
      <c r="G306" s="113"/>
      <c r="H306" s="224"/>
      <c r="I306" s="54"/>
      <c r="J306" s="124"/>
    </row>
    <row r="307" spans="1:10" ht="15.75" outlineLevel="2">
      <c r="A307" s="50"/>
      <c r="B307" s="53" t="s">
        <v>1030</v>
      </c>
      <c r="C307" s="169"/>
      <c r="D307" s="113"/>
      <c r="E307" s="111"/>
      <c r="F307" s="113"/>
      <c r="G307" s="113"/>
      <c r="H307" s="224"/>
      <c r="I307" s="54"/>
      <c r="J307" s="124"/>
    </row>
    <row r="308" spans="1:10" ht="31.5" outlineLevel="2">
      <c r="A308" s="50"/>
      <c r="B308" s="53" t="s">
        <v>1031</v>
      </c>
      <c r="C308" s="169"/>
      <c r="D308" s="113"/>
      <c r="E308" s="111"/>
      <c r="F308" s="113"/>
      <c r="G308" s="113"/>
      <c r="H308" s="224"/>
      <c r="I308" s="54"/>
      <c r="J308" s="124"/>
    </row>
    <row r="309" spans="1:10" ht="15.75" outlineLevel="2">
      <c r="A309" s="50"/>
      <c r="B309" s="53"/>
      <c r="C309" s="169"/>
      <c r="D309" s="113"/>
      <c r="E309" s="111"/>
      <c r="F309" s="113"/>
      <c r="G309" s="113"/>
      <c r="H309" s="224"/>
      <c r="I309" s="54"/>
      <c r="J309" s="124"/>
    </row>
    <row r="310" spans="1:10" ht="15.75" outlineLevel="2">
      <c r="A310" s="50"/>
      <c r="B310" s="53" t="s">
        <v>1032</v>
      </c>
      <c r="C310" s="169"/>
      <c r="D310" s="113"/>
      <c r="E310" s="111"/>
      <c r="F310" s="113"/>
      <c r="G310" s="113"/>
      <c r="H310" s="224"/>
      <c r="I310" s="54"/>
      <c r="J310" s="124"/>
    </row>
    <row r="311" spans="1:10" ht="15.75" outlineLevel="2">
      <c r="A311" s="50"/>
      <c r="B311" s="53" t="s">
        <v>1033</v>
      </c>
      <c r="C311" s="169"/>
      <c r="D311" s="113"/>
      <c r="E311" s="111"/>
      <c r="F311" s="113"/>
      <c r="G311" s="113"/>
      <c r="H311" s="224"/>
      <c r="I311" s="54"/>
      <c r="J311" s="124"/>
    </row>
    <row r="312" spans="1:10" ht="31.5" outlineLevel="2">
      <c r="A312" s="50"/>
      <c r="B312" s="53" t="s">
        <v>1034</v>
      </c>
      <c r="C312" s="169"/>
      <c r="D312" s="113"/>
      <c r="E312" s="111"/>
      <c r="F312" s="113"/>
      <c r="G312" s="113"/>
      <c r="H312" s="224"/>
      <c r="I312" s="54"/>
      <c r="J312" s="124"/>
    </row>
    <row r="313" spans="1:10" ht="15.75" outlineLevel="2">
      <c r="A313" s="50"/>
      <c r="B313" s="53" t="s">
        <v>1035</v>
      </c>
      <c r="C313" s="169"/>
      <c r="D313" s="113"/>
      <c r="E313" s="111"/>
      <c r="F313" s="113"/>
      <c r="G313" s="113"/>
      <c r="H313" s="224"/>
      <c r="I313" s="54"/>
      <c r="J313" s="124"/>
    </row>
    <row r="314" spans="1:10" ht="15.75" outlineLevel="2">
      <c r="A314" s="50"/>
      <c r="B314" s="53" t="s">
        <v>1036</v>
      </c>
      <c r="C314" s="169"/>
      <c r="D314" s="113"/>
      <c r="E314" s="111"/>
      <c r="F314" s="113"/>
      <c r="G314" s="113"/>
      <c r="H314" s="224"/>
      <c r="I314" s="54"/>
      <c r="J314" s="124"/>
    </row>
    <row r="315" spans="1:10" ht="31.5" outlineLevel="2">
      <c r="A315" s="50"/>
      <c r="B315" s="53" t="s">
        <v>1037</v>
      </c>
      <c r="C315" s="169"/>
      <c r="D315" s="113"/>
      <c r="E315" s="111"/>
      <c r="F315" s="113"/>
      <c r="G315" s="113"/>
      <c r="H315" s="224"/>
      <c r="I315" s="54"/>
      <c r="J315" s="124"/>
    </row>
    <row r="316" spans="1:10" ht="15.75" outlineLevel="2">
      <c r="A316" s="50"/>
      <c r="B316" s="53"/>
      <c r="C316" s="169"/>
      <c r="D316" s="113"/>
      <c r="E316" s="111"/>
      <c r="F316" s="113"/>
      <c r="G316" s="113"/>
      <c r="H316" s="224"/>
      <c r="I316" s="54"/>
      <c r="J316" s="124"/>
    </row>
    <row r="317" spans="1:10" ht="15.75" outlineLevel="2">
      <c r="A317" s="50"/>
      <c r="B317" s="53" t="s">
        <v>1038</v>
      </c>
      <c r="C317" s="169"/>
      <c r="D317" s="113"/>
      <c r="E317" s="111"/>
      <c r="F317" s="113"/>
      <c r="G317" s="113"/>
      <c r="H317" s="224"/>
      <c r="I317" s="54"/>
      <c r="J317" s="124"/>
    </row>
    <row r="318" spans="1:10" ht="15.75" outlineLevel="2">
      <c r="A318" s="50"/>
      <c r="B318" s="53" t="s">
        <v>1030</v>
      </c>
      <c r="C318" s="169"/>
      <c r="D318" s="113"/>
      <c r="E318" s="111"/>
      <c r="F318" s="113"/>
      <c r="G318" s="113"/>
      <c r="H318" s="224"/>
      <c r="I318" s="54"/>
      <c r="J318" s="124"/>
    </row>
    <row r="319" spans="1:10" ht="47.25" outlineLevel="2">
      <c r="A319" s="50"/>
      <c r="B319" s="53" t="s">
        <v>1039</v>
      </c>
      <c r="C319" s="169"/>
      <c r="D319" s="113"/>
      <c r="E319" s="111"/>
      <c r="F319" s="113"/>
      <c r="G319" s="113"/>
      <c r="H319" s="224"/>
      <c r="I319" s="54"/>
      <c r="J319" s="124"/>
    </row>
    <row r="320" spans="1:10" ht="15.75" outlineLevel="2">
      <c r="A320" s="50"/>
      <c r="B320" s="53"/>
      <c r="C320" s="169"/>
      <c r="D320" s="113"/>
      <c r="E320" s="111"/>
      <c r="F320" s="113"/>
      <c r="G320" s="113"/>
      <c r="H320" s="224"/>
      <c r="I320" s="54"/>
      <c r="J320" s="124"/>
    </row>
    <row r="321" spans="1:10" ht="15.75" outlineLevel="2">
      <c r="A321" s="50"/>
      <c r="B321" s="53" t="s">
        <v>1040</v>
      </c>
      <c r="C321" s="169"/>
      <c r="D321" s="113"/>
      <c r="E321" s="111"/>
      <c r="F321" s="113"/>
      <c r="G321" s="113"/>
      <c r="H321" s="224"/>
      <c r="I321" s="54"/>
      <c r="J321" s="124"/>
    </row>
    <row r="322" spans="1:10" ht="31.5" outlineLevel="2">
      <c r="A322" s="50"/>
      <c r="B322" s="53" t="s">
        <v>1041</v>
      </c>
      <c r="C322" s="169"/>
      <c r="D322" s="113"/>
      <c r="E322" s="111"/>
      <c r="F322" s="113"/>
      <c r="G322" s="113"/>
      <c r="H322" s="224"/>
      <c r="I322" s="54"/>
      <c r="J322" s="124"/>
    </row>
    <row r="323" spans="1:10" ht="15.75" outlineLevel="2">
      <c r="A323" s="50"/>
      <c r="B323" s="53"/>
      <c r="C323" s="169"/>
      <c r="D323" s="113"/>
      <c r="E323" s="111"/>
      <c r="F323" s="113"/>
      <c r="G323" s="113"/>
      <c r="H323" s="224"/>
      <c r="I323" s="54"/>
      <c r="J323" s="124"/>
    </row>
    <row r="324" spans="1:10" ht="94.5" outlineLevel="2">
      <c r="A324" s="57" t="s">
        <v>675</v>
      </c>
      <c r="B324" s="53" t="s">
        <v>1377</v>
      </c>
      <c r="C324" s="169" t="s">
        <v>80</v>
      </c>
      <c r="D324" s="113">
        <v>1</v>
      </c>
      <c r="E324" s="111"/>
      <c r="F324" s="113">
        <f>+E324*$H$7</f>
        <v>0</v>
      </c>
      <c r="G324" s="113">
        <f>+E324+F324</f>
        <v>0</v>
      </c>
      <c r="H324" s="224">
        <f>D324*G324</f>
        <v>0</v>
      </c>
      <c r="I324" s="54"/>
      <c r="J324" s="124"/>
    </row>
    <row r="325" spans="1:13" ht="31.5" outlineLevel="2">
      <c r="A325" s="57" t="s">
        <v>676</v>
      </c>
      <c r="B325" s="53" t="s">
        <v>648</v>
      </c>
      <c r="C325" s="169" t="s">
        <v>88</v>
      </c>
      <c r="D325" s="113">
        <v>20</v>
      </c>
      <c r="E325" s="111"/>
      <c r="F325" s="113">
        <f aca="true" t="shared" si="58" ref="F325:F356">+E325*$H$7</f>
        <v>0</v>
      </c>
      <c r="G325" s="113">
        <f aca="true" t="shared" si="59" ref="G325:G330">+E325+F325</f>
        <v>0</v>
      </c>
      <c r="H325" s="224">
        <f aca="true" t="shared" si="60" ref="H325:H330">D325*G325</f>
        <v>0</v>
      </c>
      <c r="I325" s="54"/>
      <c r="J325" s="124">
        <f aca="true" t="shared" si="61" ref="J325:J330">+D325*G325</f>
        <v>0</v>
      </c>
      <c r="M325" s="119">
        <f>ROUND(D325/2,2)</f>
        <v>10</v>
      </c>
    </row>
    <row r="326" spans="1:13" ht="31.5" outlineLevel="2">
      <c r="A326" s="57" t="s">
        <v>677</v>
      </c>
      <c r="B326" s="53" t="s">
        <v>649</v>
      </c>
      <c r="C326" s="169" t="s">
        <v>88</v>
      </c>
      <c r="D326" s="113">
        <v>80</v>
      </c>
      <c r="E326" s="111"/>
      <c r="F326" s="113">
        <f t="shared" si="58"/>
        <v>0</v>
      </c>
      <c r="G326" s="113">
        <f t="shared" si="59"/>
        <v>0</v>
      </c>
      <c r="H326" s="224">
        <f t="shared" si="60"/>
        <v>0</v>
      </c>
      <c r="I326" s="54"/>
      <c r="J326" s="124">
        <f t="shared" si="61"/>
        <v>0</v>
      </c>
      <c r="M326" s="119">
        <f aca="true" t="shared" si="62" ref="M326:M372">ROUND(D326/2,2)</f>
        <v>40</v>
      </c>
    </row>
    <row r="327" spans="1:13" ht="31.5" outlineLevel="2">
      <c r="A327" s="57" t="s">
        <v>678</v>
      </c>
      <c r="B327" s="53" t="s">
        <v>650</v>
      </c>
      <c r="C327" s="169" t="s">
        <v>88</v>
      </c>
      <c r="D327" s="113">
        <v>1000</v>
      </c>
      <c r="E327" s="111"/>
      <c r="F327" s="113">
        <f t="shared" si="58"/>
        <v>0</v>
      </c>
      <c r="G327" s="113">
        <f t="shared" si="59"/>
        <v>0</v>
      </c>
      <c r="H327" s="224">
        <f t="shared" si="60"/>
        <v>0</v>
      </c>
      <c r="I327" s="54"/>
      <c r="J327" s="124">
        <f t="shared" si="61"/>
        <v>0</v>
      </c>
      <c r="M327" s="119">
        <f t="shared" si="62"/>
        <v>500</v>
      </c>
    </row>
    <row r="328" spans="1:13" ht="31.5" outlineLevel="2">
      <c r="A328" s="57" t="s">
        <v>679</v>
      </c>
      <c r="B328" s="53" t="s">
        <v>926</v>
      </c>
      <c r="C328" s="169" t="s">
        <v>88</v>
      </c>
      <c r="D328" s="113">
        <v>32</v>
      </c>
      <c r="E328" s="111"/>
      <c r="F328" s="113">
        <f t="shared" si="58"/>
        <v>0</v>
      </c>
      <c r="G328" s="113">
        <f t="shared" si="59"/>
        <v>0</v>
      </c>
      <c r="H328" s="224">
        <f t="shared" si="60"/>
        <v>0</v>
      </c>
      <c r="I328" s="54"/>
      <c r="J328" s="124">
        <f t="shared" si="61"/>
        <v>0</v>
      </c>
      <c r="M328" s="119">
        <f t="shared" si="62"/>
        <v>16</v>
      </c>
    </row>
    <row r="329" spans="1:13" ht="31.5" outlineLevel="2">
      <c r="A329" s="57" t="s">
        <v>680</v>
      </c>
      <c r="B329" s="53" t="s">
        <v>651</v>
      </c>
      <c r="C329" s="169" t="s">
        <v>88</v>
      </c>
      <c r="D329" s="113">
        <v>810</v>
      </c>
      <c r="E329" s="111"/>
      <c r="F329" s="113">
        <f t="shared" si="58"/>
        <v>0</v>
      </c>
      <c r="G329" s="113">
        <f t="shared" si="59"/>
        <v>0</v>
      </c>
      <c r="H329" s="224">
        <f t="shared" si="60"/>
        <v>0</v>
      </c>
      <c r="I329" s="54"/>
      <c r="J329" s="124">
        <f t="shared" si="61"/>
        <v>0</v>
      </c>
      <c r="M329" s="119">
        <f t="shared" si="62"/>
        <v>405</v>
      </c>
    </row>
    <row r="330" spans="1:13" ht="15.75" outlineLevel="2">
      <c r="A330" s="57" t="s">
        <v>1175</v>
      </c>
      <c r="B330" s="53" t="s">
        <v>928</v>
      </c>
      <c r="C330" s="169" t="s">
        <v>88</v>
      </c>
      <c r="D330" s="113">
        <v>100</v>
      </c>
      <c r="E330" s="111"/>
      <c r="F330" s="113">
        <f t="shared" si="58"/>
        <v>0</v>
      </c>
      <c r="G330" s="113">
        <f t="shared" si="59"/>
        <v>0</v>
      </c>
      <c r="H330" s="224">
        <f t="shared" si="60"/>
        <v>0</v>
      </c>
      <c r="I330" s="54"/>
      <c r="J330" s="124">
        <f t="shared" si="61"/>
        <v>0</v>
      </c>
      <c r="M330" s="119">
        <f t="shared" si="62"/>
        <v>50</v>
      </c>
    </row>
    <row r="331" spans="1:13" ht="31.5" outlineLevel="2">
      <c r="A331" s="57" t="s">
        <v>1176</v>
      </c>
      <c r="B331" s="53" t="s">
        <v>930</v>
      </c>
      <c r="C331" s="169" t="s">
        <v>88</v>
      </c>
      <c r="D331" s="113">
        <v>180</v>
      </c>
      <c r="E331" s="111"/>
      <c r="F331" s="113">
        <f t="shared" si="58"/>
        <v>0</v>
      </c>
      <c r="G331" s="113">
        <f aca="true" t="shared" si="63" ref="G331:G336">+E331+F331</f>
        <v>0</v>
      </c>
      <c r="H331" s="224">
        <f aca="true" t="shared" si="64" ref="H331:H336">D331*G331</f>
        <v>0</v>
      </c>
      <c r="I331" s="54"/>
      <c r="J331" s="124">
        <f aca="true" t="shared" si="65" ref="J331:J336">+D331*G331</f>
        <v>0</v>
      </c>
      <c r="M331" s="119">
        <f t="shared" si="62"/>
        <v>90</v>
      </c>
    </row>
    <row r="332" spans="1:13" ht="15.75" outlineLevel="2">
      <c r="A332" s="57" t="s">
        <v>1177</v>
      </c>
      <c r="B332" s="53" t="s">
        <v>932</v>
      </c>
      <c r="C332" s="169" t="s">
        <v>80</v>
      </c>
      <c r="D332" s="113">
        <v>2</v>
      </c>
      <c r="E332" s="111"/>
      <c r="F332" s="113">
        <f t="shared" si="58"/>
        <v>0</v>
      </c>
      <c r="G332" s="113">
        <f t="shared" si="63"/>
        <v>0</v>
      </c>
      <c r="H332" s="224">
        <f t="shared" si="64"/>
        <v>0</v>
      </c>
      <c r="I332" s="54"/>
      <c r="J332" s="124">
        <f t="shared" si="65"/>
        <v>0</v>
      </c>
      <c r="M332" s="119">
        <f t="shared" si="62"/>
        <v>1</v>
      </c>
    </row>
    <row r="333" spans="1:13" ht="15.75" outlineLevel="2">
      <c r="A333" s="57" t="s">
        <v>1178</v>
      </c>
      <c r="B333" s="53" t="s">
        <v>934</v>
      </c>
      <c r="C333" s="169" t="s">
        <v>80</v>
      </c>
      <c r="D333" s="113">
        <v>2</v>
      </c>
      <c r="E333" s="111"/>
      <c r="F333" s="113">
        <f t="shared" si="58"/>
        <v>0</v>
      </c>
      <c r="G333" s="113">
        <f t="shared" si="63"/>
        <v>0</v>
      </c>
      <c r="H333" s="224">
        <f t="shared" si="64"/>
        <v>0</v>
      </c>
      <c r="I333" s="54"/>
      <c r="J333" s="124">
        <f t="shared" si="65"/>
        <v>0</v>
      </c>
      <c r="M333" s="119">
        <f t="shared" si="62"/>
        <v>1</v>
      </c>
    </row>
    <row r="334" spans="1:13" ht="15.75" outlineLevel="2">
      <c r="A334" s="57" t="s">
        <v>1179</v>
      </c>
      <c r="B334" s="53" t="s">
        <v>936</v>
      </c>
      <c r="C334" s="169" t="s">
        <v>80</v>
      </c>
      <c r="D334" s="113"/>
      <c r="E334" s="111"/>
      <c r="F334" s="113">
        <f t="shared" si="58"/>
        <v>0</v>
      </c>
      <c r="G334" s="113">
        <f>+E334+F334</f>
        <v>0</v>
      </c>
      <c r="H334" s="224">
        <f>D334*G334</f>
        <v>0</v>
      </c>
      <c r="I334" s="54"/>
      <c r="J334" s="124">
        <f>+D334*G334</f>
        <v>0</v>
      </c>
      <c r="M334" s="119">
        <f t="shared" si="62"/>
        <v>0</v>
      </c>
    </row>
    <row r="335" spans="1:13" ht="15.75" outlineLevel="2">
      <c r="A335" s="57" t="s">
        <v>1180</v>
      </c>
      <c r="B335" s="200" t="s">
        <v>1067</v>
      </c>
      <c r="C335" s="183" t="s">
        <v>80</v>
      </c>
      <c r="D335" s="179">
        <v>1</v>
      </c>
      <c r="E335" s="147"/>
      <c r="F335" s="113">
        <f t="shared" si="58"/>
        <v>0</v>
      </c>
      <c r="G335" s="113">
        <f t="shared" si="63"/>
        <v>0</v>
      </c>
      <c r="H335" s="224">
        <f t="shared" si="64"/>
        <v>0</v>
      </c>
      <c r="I335" s="54"/>
      <c r="J335" s="124">
        <f t="shared" si="65"/>
        <v>0</v>
      </c>
      <c r="M335" s="119">
        <f t="shared" si="62"/>
        <v>0.5</v>
      </c>
    </row>
    <row r="336" spans="1:13" ht="15.75" outlineLevel="2">
      <c r="A336" s="57" t="s">
        <v>1181</v>
      </c>
      <c r="B336" s="53" t="s">
        <v>938</v>
      </c>
      <c r="C336" s="169" t="s">
        <v>80</v>
      </c>
      <c r="D336" s="113">
        <v>1</v>
      </c>
      <c r="E336" s="111"/>
      <c r="F336" s="113">
        <f t="shared" si="58"/>
        <v>0</v>
      </c>
      <c r="G336" s="113">
        <f t="shared" si="63"/>
        <v>0</v>
      </c>
      <c r="H336" s="224">
        <f t="shared" si="64"/>
        <v>0</v>
      </c>
      <c r="I336" s="54"/>
      <c r="J336" s="124">
        <f t="shared" si="65"/>
        <v>0</v>
      </c>
      <c r="M336" s="119">
        <f t="shared" si="62"/>
        <v>0.5</v>
      </c>
    </row>
    <row r="337" spans="1:13" ht="15.75" outlineLevel="2">
      <c r="A337" s="57" t="s">
        <v>1182</v>
      </c>
      <c r="B337" s="53" t="s">
        <v>939</v>
      </c>
      <c r="C337" s="169" t="s">
        <v>80</v>
      </c>
      <c r="D337" s="113">
        <v>1</v>
      </c>
      <c r="E337" s="111"/>
      <c r="F337" s="113">
        <f t="shared" si="58"/>
        <v>0</v>
      </c>
      <c r="G337" s="113">
        <f aca="true" t="shared" si="66" ref="G337:G355">+E337+F337</f>
        <v>0</v>
      </c>
      <c r="H337" s="224">
        <f aca="true" t="shared" si="67" ref="H337:H355">D337*G337</f>
        <v>0</v>
      </c>
      <c r="I337" s="54"/>
      <c r="J337" s="124">
        <f aca="true" t="shared" si="68" ref="J337:J355">+D337*G337</f>
        <v>0</v>
      </c>
      <c r="M337" s="119">
        <f t="shared" si="62"/>
        <v>0.5</v>
      </c>
    </row>
    <row r="338" spans="1:13" ht="15.75" outlineLevel="2">
      <c r="A338" s="57" t="s">
        <v>1183</v>
      </c>
      <c r="B338" s="200" t="s">
        <v>1112</v>
      </c>
      <c r="C338" s="183" t="s">
        <v>80</v>
      </c>
      <c r="D338" s="179">
        <v>1</v>
      </c>
      <c r="E338" s="147"/>
      <c r="F338" s="113">
        <f t="shared" si="58"/>
        <v>0</v>
      </c>
      <c r="G338" s="113">
        <f t="shared" si="66"/>
        <v>0</v>
      </c>
      <c r="H338" s="224">
        <f t="shared" si="67"/>
        <v>0</v>
      </c>
      <c r="I338" s="54"/>
      <c r="J338" s="124">
        <f t="shared" si="68"/>
        <v>0</v>
      </c>
      <c r="M338" s="119">
        <f t="shared" si="62"/>
        <v>0.5</v>
      </c>
    </row>
    <row r="339" spans="1:13" ht="15.75" outlineLevel="2">
      <c r="A339" s="57" t="s">
        <v>1378</v>
      </c>
      <c r="B339" s="53" t="s">
        <v>941</v>
      </c>
      <c r="C339" s="169" t="s">
        <v>3</v>
      </c>
      <c r="D339" s="113">
        <v>1</v>
      </c>
      <c r="E339" s="111"/>
      <c r="F339" s="113">
        <f t="shared" si="58"/>
        <v>0</v>
      </c>
      <c r="G339" s="113">
        <f t="shared" si="66"/>
        <v>0</v>
      </c>
      <c r="H339" s="224">
        <f t="shared" si="67"/>
        <v>0</v>
      </c>
      <c r="I339" s="54"/>
      <c r="J339" s="124">
        <f t="shared" si="68"/>
        <v>0</v>
      </c>
      <c r="M339" s="119">
        <f t="shared" si="62"/>
        <v>0.5</v>
      </c>
    </row>
    <row r="340" spans="1:13" ht="15.75" outlineLevel="2">
      <c r="A340" s="57" t="s">
        <v>1184</v>
      </c>
      <c r="B340" s="53" t="s">
        <v>236</v>
      </c>
      <c r="C340" s="169" t="s">
        <v>80</v>
      </c>
      <c r="D340" s="113">
        <v>5</v>
      </c>
      <c r="E340" s="111"/>
      <c r="F340" s="113">
        <f t="shared" si="58"/>
        <v>0</v>
      </c>
      <c r="G340" s="113">
        <f t="shared" si="66"/>
        <v>0</v>
      </c>
      <c r="H340" s="224">
        <f t="shared" si="67"/>
        <v>0</v>
      </c>
      <c r="I340" s="54"/>
      <c r="J340" s="124">
        <f t="shared" si="68"/>
        <v>0</v>
      </c>
      <c r="M340" s="119">
        <f t="shared" si="62"/>
        <v>2.5</v>
      </c>
    </row>
    <row r="341" spans="1:13" ht="15.75" outlineLevel="2">
      <c r="A341" s="57" t="s">
        <v>1185</v>
      </c>
      <c r="B341" s="53" t="s">
        <v>943</v>
      </c>
      <c r="C341" s="169" t="s">
        <v>80</v>
      </c>
      <c r="D341" s="113">
        <v>5</v>
      </c>
      <c r="E341" s="111"/>
      <c r="F341" s="113">
        <f t="shared" si="58"/>
        <v>0</v>
      </c>
      <c r="G341" s="113">
        <f t="shared" si="66"/>
        <v>0</v>
      </c>
      <c r="H341" s="224">
        <f t="shared" si="67"/>
        <v>0</v>
      </c>
      <c r="I341" s="54"/>
      <c r="J341" s="124">
        <f t="shared" si="68"/>
        <v>0</v>
      </c>
      <c r="M341" s="119">
        <f t="shared" si="62"/>
        <v>2.5</v>
      </c>
    </row>
    <row r="342" spans="1:13" ht="15.75" outlineLevel="2">
      <c r="A342" s="57" t="s">
        <v>1186</v>
      </c>
      <c r="B342" s="53" t="s">
        <v>670</v>
      </c>
      <c r="C342" s="169" t="s">
        <v>88</v>
      </c>
      <c r="D342" s="181">
        <v>60</v>
      </c>
      <c r="E342" s="111"/>
      <c r="F342" s="113">
        <f t="shared" si="58"/>
        <v>0</v>
      </c>
      <c r="G342" s="113">
        <f t="shared" si="66"/>
        <v>0</v>
      </c>
      <c r="H342" s="224">
        <f t="shared" si="67"/>
        <v>0</v>
      </c>
      <c r="I342" s="54"/>
      <c r="J342" s="124">
        <f t="shared" si="68"/>
        <v>0</v>
      </c>
      <c r="M342" s="119">
        <f t="shared" si="62"/>
        <v>30</v>
      </c>
    </row>
    <row r="343" spans="1:13" ht="15.75" outlineLevel="2">
      <c r="A343" s="57" t="s">
        <v>1187</v>
      </c>
      <c r="B343" s="53" t="s">
        <v>232</v>
      </c>
      <c r="C343" s="169" t="s">
        <v>88</v>
      </c>
      <c r="D343" s="181">
        <v>40</v>
      </c>
      <c r="E343" s="111"/>
      <c r="F343" s="113">
        <f t="shared" si="58"/>
        <v>0</v>
      </c>
      <c r="G343" s="113">
        <f t="shared" si="66"/>
        <v>0</v>
      </c>
      <c r="H343" s="224">
        <f t="shared" si="67"/>
        <v>0</v>
      </c>
      <c r="I343" s="54"/>
      <c r="J343" s="124">
        <f t="shared" si="68"/>
        <v>0</v>
      </c>
      <c r="M343" s="119">
        <f t="shared" si="62"/>
        <v>20</v>
      </c>
    </row>
    <row r="344" spans="1:13" ht="15.75" outlineLevel="2">
      <c r="A344" s="57" t="s">
        <v>1188</v>
      </c>
      <c r="B344" s="53" t="s">
        <v>945</v>
      </c>
      <c r="C344" s="169" t="s">
        <v>80</v>
      </c>
      <c r="D344" s="113">
        <v>40</v>
      </c>
      <c r="E344" s="111"/>
      <c r="F344" s="113">
        <f t="shared" si="58"/>
        <v>0</v>
      </c>
      <c r="G344" s="113">
        <f t="shared" si="66"/>
        <v>0</v>
      </c>
      <c r="H344" s="224">
        <f t="shared" si="67"/>
        <v>0</v>
      </c>
      <c r="I344" s="54"/>
      <c r="J344" s="124">
        <f t="shared" si="68"/>
        <v>0</v>
      </c>
      <c r="M344" s="119">
        <f t="shared" si="62"/>
        <v>20</v>
      </c>
    </row>
    <row r="345" spans="1:13" ht="15.75" outlineLevel="2">
      <c r="A345" s="57" t="s">
        <v>1189</v>
      </c>
      <c r="B345" s="53" t="s">
        <v>924</v>
      </c>
      <c r="C345" s="169" t="s">
        <v>80</v>
      </c>
      <c r="D345" s="113">
        <v>40</v>
      </c>
      <c r="E345" s="111"/>
      <c r="F345" s="113">
        <f t="shared" si="58"/>
        <v>0</v>
      </c>
      <c r="G345" s="113">
        <f t="shared" si="66"/>
        <v>0</v>
      </c>
      <c r="H345" s="224">
        <f t="shared" si="67"/>
        <v>0</v>
      </c>
      <c r="I345" s="54"/>
      <c r="J345" s="124">
        <f t="shared" si="68"/>
        <v>0</v>
      </c>
      <c r="M345" s="119">
        <f t="shared" si="62"/>
        <v>20</v>
      </c>
    </row>
    <row r="346" spans="1:13" ht="15.75" outlineLevel="2">
      <c r="A346" s="57" t="s">
        <v>1190</v>
      </c>
      <c r="B346" s="53" t="s">
        <v>947</v>
      </c>
      <c r="C346" s="169" t="s">
        <v>80</v>
      </c>
      <c r="D346" s="113">
        <v>20</v>
      </c>
      <c r="E346" s="111"/>
      <c r="F346" s="113">
        <f t="shared" si="58"/>
        <v>0</v>
      </c>
      <c r="G346" s="113">
        <f t="shared" si="66"/>
        <v>0</v>
      </c>
      <c r="H346" s="224">
        <f t="shared" si="67"/>
        <v>0</v>
      </c>
      <c r="I346" s="54"/>
      <c r="J346" s="124">
        <f t="shared" si="68"/>
        <v>0</v>
      </c>
      <c r="M346" s="119">
        <f t="shared" si="62"/>
        <v>10</v>
      </c>
    </row>
    <row r="347" spans="1:13" ht="15.75" outlineLevel="2">
      <c r="A347" s="57" t="s">
        <v>1191</v>
      </c>
      <c r="B347" s="53" t="s">
        <v>948</v>
      </c>
      <c r="C347" s="169" t="s">
        <v>88</v>
      </c>
      <c r="D347" s="113">
        <v>200</v>
      </c>
      <c r="E347" s="111"/>
      <c r="F347" s="113">
        <f t="shared" si="58"/>
        <v>0</v>
      </c>
      <c r="G347" s="113">
        <f t="shared" si="66"/>
        <v>0</v>
      </c>
      <c r="H347" s="224">
        <f t="shared" si="67"/>
        <v>0</v>
      </c>
      <c r="I347" s="54"/>
      <c r="J347" s="124">
        <f t="shared" si="68"/>
        <v>0</v>
      </c>
      <c r="M347" s="119">
        <f t="shared" si="62"/>
        <v>100</v>
      </c>
    </row>
    <row r="348" spans="1:13" ht="31.5" outlineLevel="2">
      <c r="A348" s="57" t="s">
        <v>1192</v>
      </c>
      <c r="B348" s="53" t="s">
        <v>647</v>
      </c>
      <c r="C348" s="169" t="s">
        <v>88</v>
      </c>
      <c r="D348" s="113">
        <v>8</v>
      </c>
      <c r="E348" s="111"/>
      <c r="F348" s="113">
        <f t="shared" si="58"/>
        <v>0</v>
      </c>
      <c r="G348" s="113">
        <f t="shared" si="66"/>
        <v>0</v>
      </c>
      <c r="H348" s="224">
        <f t="shared" si="67"/>
        <v>0</v>
      </c>
      <c r="I348" s="54"/>
      <c r="J348" s="124">
        <f t="shared" si="68"/>
        <v>0</v>
      </c>
      <c r="M348" s="119">
        <f t="shared" si="62"/>
        <v>4</v>
      </c>
    </row>
    <row r="349" spans="1:13" ht="15.75" outlineLevel="2">
      <c r="A349" s="57" t="s">
        <v>1193</v>
      </c>
      <c r="B349" s="53" t="s">
        <v>952</v>
      </c>
      <c r="C349" s="169" t="s">
        <v>80</v>
      </c>
      <c r="D349" s="113">
        <v>2</v>
      </c>
      <c r="E349" s="111"/>
      <c r="F349" s="113">
        <f t="shared" si="58"/>
        <v>0</v>
      </c>
      <c r="G349" s="113">
        <f>+E349+F349</f>
        <v>0</v>
      </c>
      <c r="H349" s="224">
        <f>D349*G349</f>
        <v>0</v>
      </c>
      <c r="I349" s="54"/>
      <c r="J349" s="124">
        <f>+D349*G349</f>
        <v>0</v>
      </c>
      <c r="M349" s="119">
        <f t="shared" si="62"/>
        <v>1</v>
      </c>
    </row>
    <row r="350" spans="1:13" ht="15.75" outlineLevel="2">
      <c r="A350" s="57" t="s">
        <v>1194</v>
      </c>
      <c r="B350" s="53" t="s">
        <v>949</v>
      </c>
      <c r="C350" s="169" t="s">
        <v>80</v>
      </c>
      <c r="D350" s="113">
        <v>6</v>
      </c>
      <c r="E350" s="111"/>
      <c r="F350" s="113">
        <f t="shared" si="58"/>
        <v>0</v>
      </c>
      <c r="G350" s="113">
        <f>+E350+F350</f>
        <v>0</v>
      </c>
      <c r="H350" s="224">
        <f>D350*G350</f>
        <v>0</v>
      </c>
      <c r="I350" s="54"/>
      <c r="J350" s="124">
        <f>+D350*G350</f>
        <v>0</v>
      </c>
      <c r="M350" s="119">
        <f t="shared" si="62"/>
        <v>3</v>
      </c>
    </row>
    <row r="351" spans="1:13" ht="15.75" outlineLevel="2">
      <c r="A351" s="57" t="s">
        <v>1195</v>
      </c>
      <c r="B351" s="53" t="s">
        <v>951</v>
      </c>
      <c r="C351" s="169" t="s">
        <v>80</v>
      </c>
      <c r="D351" s="113">
        <v>12</v>
      </c>
      <c r="E351" s="111"/>
      <c r="F351" s="113">
        <f t="shared" si="58"/>
        <v>0</v>
      </c>
      <c r="G351" s="113">
        <f>+E351+F351</f>
        <v>0</v>
      </c>
      <c r="H351" s="224">
        <f>D351*G351</f>
        <v>0</v>
      </c>
      <c r="I351" s="54"/>
      <c r="J351" s="124">
        <f>+D351*G351</f>
        <v>0</v>
      </c>
      <c r="M351" s="119">
        <f t="shared" si="62"/>
        <v>6</v>
      </c>
    </row>
    <row r="352" spans="1:13" ht="15.75" outlineLevel="2">
      <c r="A352" s="57" t="s">
        <v>1196</v>
      </c>
      <c r="B352" s="53" t="s">
        <v>950</v>
      </c>
      <c r="C352" s="169" t="s">
        <v>408</v>
      </c>
      <c r="D352" s="113">
        <v>28</v>
      </c>
      <c r="E352" s="111"/>
      <c r="F352" s="113">
        <f t="shared" si="58"/>
        <v>0</v>
      </c>
      <c r="G352" s="113">
        <f>+E352+F352</f>
        <v>0</v>
      </c>
      <c r="H352" s="224">
        <f>D352*G352</f>
        <v>0</v>
      </c>
      <c r="I352" s="54"/>
      <c r="J352" s="124">
        <f>+D352*G352</f>
        <v>0</v>
      </c>
      <c r="M352" s="119">
        <f t="shared" si="62"/>
        <v>14</v>
      </c>
    </row>
    <row r="353" spans="1:13" ht="15.75" outlineLevel="2">
      <c r="A353" s="57" t="s">
        <v>1197</v>
      </c>
      <c r="B353" s="53" t="s">
        <v>954</v>
      </c>
      <c r="C353" s="169" t="s">
        <v>88</v>
      </c>
      <c r="D353" s="113">
        <v>6</v>
      </c>
      <c r="E353" s="111"/>
      <c r="F353" s="113">
        <f t="shared" si="58"/>
        <v>0</v>
      </c>
      <c r="G353" s="113">
        <f t="shared" si="66"/>
        <v>0</v>
      </c>
      <c r="H353" s="224">
        <f t="shared" si="67"/>
        <v>0</v>
      </c>
      <c r="I353" s="54"/>
      <c r="J353" s="124">
        <f t="shared" si="68"/>
        <v>0</v>
      </c>
      <c r="M353" s="119">
        <f t="shared" si="62"/>
        <v>3</v>
      </c>
    </row>
    <row r="354" spans="1:13" ht="15.75" outlineLevel="2">
      <c r="A354" s="57" t="s">
        <v>1198</v>
      </c>
      <c r="B354" s="53" t="s">
        <v>956</v>
      </c>
      <c r="C354" s="169" t="s">
        <v>80</v>
      </c>
      <c r="D354" s="113">
        <v>1</v>
      </c>
      <c r="E354" s="111"/>
      <c r="F354" s="113">
        <f t="shared" si="58"/>
        <v>0</v>
      </c>
      <c r="G354" s="113">
        <f t="shared" si="66"/>
        <v>0</v>
      </c>
      <c r="H354" s="224">
        <f t="shared" si="67"/>
        <v>0</v>
      </c>
      <c r="I354" s="54"/>
      <c r="J354" s="124">
        <f t="shared" si="68"/>
        <v>0</v>
      </c>
      <c r="M354" s="119">
        <f t="shared" si="62"/>
        <v>0.5</v>
      </c>
    </row>
    <row r="355" spans="1:13" ht="15.75" outlineLevel="2">
      <c r="A355" s="57" t="s">
        <v>1199</v>
      </c>
      <c r="B355" s="53" t="s">
        <v>959</v>
      </c>
      <c r="C355" s="169" t="s">
        <v>88</v>
      </c>
      <c r="D355" s="113">
        <v>24</v>
      </c>
      <c r="E355" s="111"/>
      <c r="F355" s="113">
        <f t="shared" si="58"/>
        <v>0</v>
      </c>
      <c r="G355" s="113">
        <f t="shared" si="66"/>
        <v>0</v>
      </c>
      <c r="H355" s="224">
        <f t="shared" si="67"/>
        <v>0</v>
      </c>
      <c r="I355" s="54"/>
      <c r="J355" s="124">
        <f t="shared" si="68"/>
        <v>0</v>
      </c>
      <c r="M355" s="119">
        <f t="shared" si="62"/>
        <v>12</v>
      </c>
    </row>
    <row r="356" spans="1:13" ht="15.75" outlineLevel="2">
      <c r="A356" s="57" t="s">
        <v>1200</v>
      </c>
      <c r="B356" s="53" t="s">
        <v>954</v>
      </c>
      <c r="C356" s="169" t="s">
        <v>88</v>
      </c>
      <c r="D356" s="113">
        <f>37*3</f>
        <v>111</v>
      </c>
      <c r="E356" s="111"/>
      <c r="F356" s="113">
        <f t="shared" si="58"/>
        <v>0</v>
      </c>
      <c r="G356" s="113">
        <f>+E356+F356</f>
        <v>0</v>
      </c>
      <c r="H356" s="224">
        <f>D356*G356</f>
        <v>0</v>
      </c>
      <c r="I356" s="54"/>
      <c r="J356" s="124">
        <f>+D356*G356</f>
        <v>0</v>
      </c>
      <c r="M356" s="119">
        <f t="shared" si="62"/>
        <v>55.5</v>
      </c>
    </row>
    <row r="357" spans="1:13" ht="15.75" outlineLevel="2">
      <c r="A357" s="57" t="s">
        <v>1201</v>
      </c>
      <c r="B357" s="53" t="s">
        <v>957</v>
      </c>
      <c r="C357" s="169" t="s">
        <v>80</v>
      </c>
      <c r="D357" s="113">
        <v>16</v>
      </c>
      <c r="E357" s="111"/>
      <c r="F357" s="113">
        <f aca="true" t="shared" si="69" ref="F357:F373">+E357*$H$7</f>
        <v>0</v>
      </c>
      <c r="G357" s="113">
        <f>+E357+F357</f>
        <v>0</v>
      </c>
      <c r="H357" s="224">
        <f>D357*G357</f>
        <v>0</v>
      </c>
      <c r="I357" s="54"/>
      <c r="J357" s="124">
        <f>+D357*G357</f>
        <v>0</v>
      </c>
      <c r="M357" s="119">
        <f t="shared" si="62"/>
        <v>8</v>
      </c>
    </row>
    <row r="358" spans="1:13" ht="15.75" outlineLevel="2">
      <c r="A358" s="57" t="s">
        <v>1202</v>
      </c>
      <c r="B358" s="53" t="s">
        <v>960</v>
      </c>
      <c r="C358" s="169" t="s">
        <v>80</v>
      </c>
      <c r="D358" s="113">
        <v>6</v>
      </c>
      <c r="E358" s="111"/>
      <c r="F358" s="113">
        <f t="shared" si="69"/>
        <v>0</v>
      </c>
      <c r="G358" s="113">
        <f aca="true" t="shared" si="70" ref="G358:G372">+E358+F358</f>
        <v>0</v>
      </c>
      <c r="H358" s="224">
        <f aca="true" t="shared" si="71" ref="H358:H372">D358*G358</f>
        <v>0</v>
      </c>
      <c r="I358" s="54"/>
      <c r="J358" s="124">
        <f aca="true" t="shared" si="72" ref="J358:J372">+D358*G358</f>
        <v>0</v>
      </c>
      <c r="M358" s="119">
        <f t="shared" si="62"/>
        <v>3</v>
      </c>
    </row>
    <row r="359" spans="1:13" ht="15.75" outlineLevel="2">
      <c r="A359" s="57" t="s">
        <v>1203</v>
      </c>
      <c r="B359" s="53" t="s">
        <v>962</v>
      </c>
      <c r="C359" s="169" t="s">
        <v>80</v>
      </c>
      <c r="D359" s="113">
        <v>30</v>
      </c>
      <c r="E359" s="111"/>
      <c r="F359" s="113">
        <f t="shared" si="69"/>
        <v>0</v>
      </c>
      <c r="G359" s="113">
        <f t="shared" si="70"/>
        <v>0</v>
      </c>
      <c r="H359" s="224">
        <f t="shared" si="71"/>
        <v>0</v>
      </c>
      <c r="I359" s="54"/>
      <c r="J359" s="124">
        <f t="shared" si="72"/>
        <v>0</v>
      </c>
      <c r="M359" s="119">
        <f t="shared" si="62"/>
        <v>15</v>
      </c>
    </row>
    <row r="360" spans="1:13" ht="15.75" outlineLevel="2">
      <c r="A360" s="57" t="s">
        <v>1204</v>
      </c>
      <c r="B360" s="53" t="s">
        <v>964</v>
      </c>
      <c r="C360" s="169" t="s">
        <v>80</v>
      </c>
      <c r="D360" s="113">
        <v>32</v>
      </c>
      <c r="E360" s="111"/>
      <c r="F360" s="113">
        <f t="shared" si="69"/>
        <v>0</v>
      </c>
      <c r="G360" s="113">
        <f t="shared" si="70"/>
        <v>0</v>
      </c>
      <c r="H360" s="224">
        <f t="shared" si="71"/>
        <v>0</v>
      </c>
      <c r="I360" s="54"/>
      <c r="J360" s="124">
        <f t="shared" si="72"/>
        <v>0</v>
      </c>
      <c r="M360" s="119">
        <f t="shared" si="62"/>
        <v>16</v>
      </c>
    </row>
    <row r="361" spans="1:13" ht="15.75" outlineLevel="2">
      <c r="A361" s="57" t="s">
        <v>1205</v>
      </c>
      <c r="B361" s="53" t="s">
        <v>966</v>
      </c>
      <c r="C361" s="169" t="s">
        <v>408</v>
      </c>
      <c r="D361" s="113">
        <v>8</v>
      </c>
      <c r="E361" s="111"/>
      <c r="F361" s="113">
        <f t="shared" si="69"/>
        <v>0</v>
      </c>
      <c r="G361" s="113">
        <f t="shared" si="70"/>
        <v>0</v>
      </c>
      <c r="H361" s="224">
        <f t="shared" si="71"/>
        <v>0</v>
      </c>
      <c r="I361" s="54"/>
      <c r="J361" s="124">
        <f t="shared" si="72"/>
        <v>0</v>
      </c>
      <c r="M361" s="119">
        <f t="shared" si="62"/>
        <v>4</v>
      </c>
    </row>
    <row r="362" spans="1:13" ht="15.75" outlineLevel="2">
      <c r="A362" s="57" t="s">
        <v>1206</v>
      </c>
      <c r="B362" s="53" t="s">
        <v>967</v>
      </c>
      <c r="C362" s="169" t="s">
        <v>99</v>
      </c>
      <c r="D362" s="113">
        <v>1</v>
      </c>
      <c r="E362" s="111"/>
      <c r="F362" s="113">
        <f t="shared" si="69"/>
        <v>0</v>
      </c>
      <c r="G362" s="113">
        <f t="shared" si="70"/>
        <v>0</v>
      </c>
      <c r="H362" s="224">
        <f t="shared" si="71"/>
        <v>0</v>
      </c>
      <c r="I362" s="54"/>
      <c r="J362" s="124">
        <f t="shared" si="72"/>
        <v>0</v>
      </c>
      <c r="M362" s="119">
        <f t="shared" si="62"/>
        <v>0.5</v>
      </c>
    </row>
    <row r="363" spans="1:13" ht="15.75" outlineLevel="2">
      <c r="A363" s="57" t="s">
        <v>1207</v>
      </c>
      <c r="B363" s="53" t="s">
        <v>968</v>
      </c>
      <c r="C363" s="169" t="s">
        <v>80</v>
      </c>
      <c r="D363" s="113">
        <v>1</v>
      </c>
      <c r="E363" s="111"/>
      <c r="F363" s="113">
        <f t="shared" si="69"/>
        <v>0</v>
      </c>
      <c r="G363" s="113">
        <f t="shared" si="70"/>
        <v>0</v>
      </c>
      <c r="H363" s="224">
        <f t="shared" si="71"/>
        <v>0</v>
      </c>
      <c r="I363" s="54"/>
      <c r="J363" s="124">
        <f t="shared" si="72"/>
        <v>0</v>
      </c>
      <c r="M363" s="119">
        <f t="shared" si="62"/>
        <v>0.5</v>
      </c>
    </row>
    <row r="364" spans="1:13" ht="15.75" outlineLevel="2">
      <c r="A364" s="57" t="s">
        <v>1208</v>
      </c>
      <c r="B364" s="53" t="s">
        <v>970</v>
      </c>
      <c r="C364" s="169" t="s">
        <v>80</v>
      </c>
      <c r="D364" s="113">
        <v>2</v>
      </c>
      <c r="E364" s="111"/>
      <c r="F364" s="113">
        <f t="shared" si="69"/>
        <v>0</v>
      </c>
      <c r="G364" s="113">
        <f t="shared" si="70"/>
        <v>0</v>
      </c>
      <c r="H364" s="224">
        <f t="shared" si="71"/>
        <v>0</v>
      </c>
      <c r="I364" s="54"/>
      <c r="J364" s="124">
        <f t="shared" si="72"/>
        <v>0</v>
      </c>
      <c r="M364" s="119">
        <f t="shared" si="62"/>
        <v>1</v>
      </c>
    </row>
    <row r="365" spans="1:13" ht="15.75" outlineLevel="2">
      <c r="A365" s="57" t="s">
        <v>1209</v>
      </c>
      <c r="B365" s="53" t="s">
        <v>972</v>
      </c>
      <c r="C365" s="169" t="s">
        <v>80</v>
      </c>
      <c r="D365" s="113">
        <v>4</v>
      </c>
      <c r="E365" s="111"/>
      <c r="F365" s="113">
        <f t="shared" si="69"/>
        <v>0</v>
      </c>
      <c r="G365" s="113">
        <f t="shared" si="70"/>
        <v>0</v>
      </c>
      <c r="H365" s="224">
        <f t="shared" si="71"/>
        <v>0</v>
      </c>
      <c r="I365" s="54"/>
      <c r="J365" s="124">
        <f t="shared" si="72"/>
        <v>0</v>
      </c>
      <c r="M365" s="119">
        <f t="shared" si="62"/>
        <v>2</v>
      </c>
    </row>
    <row r="366" spans="1:13" ht="15.75" outlineLevel="2">
      <c r="A366" s="57" t="s">
        <v>1210</v>
      </c>
      <c r="B366" s="53" t="s">
        <v>974</v>
      </c>
      <c r="C366" s="169" t="s">
        <v>80</v>
      </c>
      <c r="D366" s="113">
        <v>3</v>
      </c>
      <c r="E366" s="111"/>
      <c r="F366" s="113">
        <f t="shared" si="69"/>
        <v>0</v>
      </c>
      <c r="G366" s="113">
        <f t="shared" si="70"/>
        <v>0</v>
      </c>
      <c r="H366" s="224">
        <f t="shared" si="71"/>
        <v>0</v>
      </c>
      <c r="I366" s="54"/>
      <c r="J366" s="124">
        <f t="shared" si="72"/>
        <v>0</v>
      </c>
      <c r="M366" s="119">
        <f t="shared" si="62"/>
        <v>1.5</v>
      </c>
    </row>
    <row r="367" spans="1:13" ht="15.75" outlineLevel="2">
      <c r="A367" s="57" t="s">
        <v>1211</v>
      </c>
      <c r="B367" s="53" t="s">
        <v>976</v>
      </c>
      <c r="C367" s="169" t="s">
        <v>80</v>
      </c>
      <c r="D367" s="113">
        <v>6</v>
      </c>
      <c r="E367" s="111"/>
      <c r="F367" s="113">
        <f t="shared" si="69"/>
        <v>0</v>
      </c>
      <c r="G367" s="113">
        <f t="shared" si="70"/>
        <v>0</v>
      </c>
      <c r="H367" s="224">
        <f t="shared" si="71"/>
        <v>0</v>
      </c>
      <c r="I367" s="54"/>
      <c r="J367" s="124">
        <f t="shared" si="72"/>
        <v>0</v>
      </c>
      <c r="M367" s="119">
        <f t="shared" si="62"/>
        <v>3</v>
      </c>
    </row>
    <row r="368" spans="1:13" ht="15.75" outlineLevel="2">
      <c r="A368" s="57" t="s">
        <v>1212</v>
      </c>
      <c r="B368" s="53" t="s">
        <v>978</v>
      </c>
      <c r="C368" s="169" t="s">
        <v>80</v>
      </c>
      <c r="D368" s="113">
        <v>1</v>
      </c>
      <c r="E368" s="111"/>
      <c r="F368" s="113">
        <f t="shared" si="69"/>
        <v>0</v>
      </c>
      <c r="G368" s="113">
        <f t="shared" si="70"/>
        <v>0</v>
      </c>
      <c r="H368" s="224">
        <f t="shared" si="71"/>
        <v>0</v>
      </c>
      <c r="I368" s="54"/>
      <c r="J368" s="124">
        <f t="shared" si="72"/>
        <v>0</v>
      </c>
      <c r="M368" s="119">
        <f t="shared" si="62"/>
        <v>0.5</v>
      </c>
    </row>
    <row r="369" spans="1:13" ht="15.75" outlineLevel="2">
      <c r="A369" s="57" t="s">
        <v>1213</v>
      </c>
      <c r="B369" s="53" t="s">
        <v>980</v>
      </c>
      <c r="C369" s="169" t="s">
        <v>80</v>
      </c>
      <c r="D369" s="113">
        <v>1</v>
      </c>
      <c r="E369" s="111"/>
      <c r="F369" s="113">
        <f t="shared" si="69"/>
        <v>0</v>
      </c>
      <c r="G369" s="113">
        <f t="shared" si="70"/>
        <v>0</v>
      </c>
      <c r="H369" s="224">
        <f t="shared" si="71"/>
        <v>0</v>
      </c>
      <c r="I369" s="54"/>
      <c r="J369" s="124">
        <f t="shared" si="72"/>
        <v>0</v>
      </c>
      <c r="M369" s="119">
        <f t="shared" si="62"/>
        <v>0.5</v>
      </c>
    </row>
    <row r="370" spans="1:13" ht="15.75" outlineLevel="2">
      <c r="A370" s="57" t="s">
        <v>1214</v>
      </c>
      <c r="B370" s="53" t="s">
        <v>982</v>
      </c>
      <c r="C370" s="169" t="s">
        <v>80</v>
      </c>
      <c r="D370" s="113">
        <v>1</v>
      </c>
      <c r="E370" s="111"/>
      <c r="F370" s="113">
        <f t="shared" si="69"/>
        <v>0</v>
      </c>
      <c r="G370" s="113">
        <f t="shared" si="70"/>
        <v>0</v>
      </c>
      <c r="H370" s="224">
        <f t="shared" si="71"/>
        <v>0</v>
      </c>
      <c r="I370" s="54"/>
      <c r="J370" s="124">
        <f t="shared" si="72"/>
        <v>0</v>
      </c>
      <c r="M370" s="119">
        <f t="shared" si="62"/>
        <v>0.5</v>
      </c>
    </row>
    <row r="371" spans="1:13" ht="15.75" outlineLevel="2">
      <c r="A371" s="57" t="s">
        <v>1215</v>
      </c>
      <c r="B371" s="53" t="s">
        <v>983</v>
      </c>
      <c r="C371" s="169" t="s">
        <v>80</v>
      </c>
      <c r="D371" s="113">
        <v>3</v>
      </c>
      <c r="E371" s="111"/>
      <c r="F371" s="113">
        <f t="shared" si="69"/>
        <v>0</v>
      </c>
      <c r="G371" s="113">
        <f t="shared" si="70"/>
        <v>0</v>
      </c>
      <c r="H371" s="224">
        <f t="shared" si="71"/>
        <v>0</v>
      </c>
      <c r="I371" s="54"/>
      <c r="J371" s="124">
        <f t="shared" si="72"/>
        <v>0</v>
      </c>
      <c r="M371" s="119">
        <f t="shared" si="62"/>
        <v>1.5</v>
      </c>
    </row>
    <row r="372" spans="1:13" ht="78.75" outlineLevel="2">
      <c r="A372" s="57" t="s">
        <v>1379</v>
      </c>
      <c r="B372" s="53" t="s">
        <v>1376</v>
      </c>
      <c r="C372" s="169" t="s">
        <v>80</v>
      </c>
      <c r="D372" s="113">
        <v>1</v>
      </c>
      <c r="E372" s="111"/>
      <c r="F372" s="113">
        <f t="shared" si="69"/>
        <v>0</v>
      </c>
      <c r="G372" s="113">
        <f t="shared" si="70"/>
        <v>0</v>
      </c>
      <c r="H372" s="224">
        <f t="shared" si="71"/>
        <v>0</v>
      </c>
      <c r="I372" s="54"/>
      <c r="J372" s="124">
        <f t="shared" si="72"/>
        <v>0</v>
      </c>
      <c r="M372" s="119">
        <f t="shared" si="62"/>
        <v>0.5</v>
      </c>
    </row>
    <row r="373" spans="1:10" ht="15.75" outlineLevel="2">
      <c r="A373" s="52"/>
      <c r="B373" s="58"/>
      <c r="C373" s="173">
        <v>0</v>
      </c>
      <c r="D373" s="113"/>
      <c r="E373" s="113"/>
      <c r="F373" s="113">
        <f t="shared" si="69"/>
        <v>0</v>
      </c>
      <c r="G373" s="113">
        <f>+E373+F373</f>
        <v>0</v>
      </c>
      <c r="H373" s="224">
        <f>D373*G373</f>
        <v>0</v>
      </c>
      <c r="I373" s="54"/>
      <c r="J373" s="124">
        <f>+D373*G373</f>
        <v>0</v>
      </c>
    </row>
    <row r="374" spans="1:10" s="119" customFormat="1" ht="15.75" outlineLevel="1">
      <c r="A374" s="50" t="s">
        <v>843</v>
      </c>
      <c r="B374" s="232" t="s">
        <v>1044</v>
      </c>
      <c r="C374" s="168"/>
      <c r="D374" s="118"/>
      <c r="E374" s="118"/>
      <c r="F374" s="118">
        <f aca="true" t="shared" si="73" ref="F374:F380">+E374*$H$7</f>
        <v>0</v>
      </c>
      <c r="G374" s="118">
        <f aca="true" t="shared" si="74" ref="G374:G384">+E374+F374</f>
        <v>0</v>
      </c>
      <c r="H374" s="220">
        <f>SUBTOTAL(9,H375:H395)</f>
        <v>0</v>
      </c>
      <c r="I374" s="120"/>
      <c r="J374" s="124">
        <f aca="true" t="shared" si="75" ref="J374:J380">+D374*G374</f>
        <v>0</v>
      </c>
    </row>
    <row r="375" spans="1:10" s="119" customFormat="1" ht="15.75" outlineLevel="2">
      <c r="A375" s="50" t="s">
        <v>844</v>
      </c>
      <c r="B375" s="232" t="s">
        <v>1045</v>
      </c>
      <c r="C375" s="168"/>
      <c r="D375" s="118"/>
      <c r="E375" s="118"/>
      <c r="F375" s="118">
        <f t="shared" si="73"/>
        <v>0</v>
      </c>
      <c r="G375" s="118">
        <f t="shared" si="74"/>
        <v>0</v>
      </c>
      <c r="H375" s="220">
        <f>SUBTOTAL(9,H376:H378)</f>
        <v>0</v>
      </c>
      <c r="I375" s="120"/>
      <c r="J375" s="124">
        <f t="shared" si="75"/>
        <v>0</v>
      </c>
    </row>
    <row r="376" spans="1:10" ht="31.5" outlineLevel="2">
      <c r="A376" s="57" t="s">
        <v>1216</v>
      </c>
      <c r="B376" s="53" t="s">
        <v>986</v>
      </c>
      <c r="C376" s="169" t="s">
        <v>80</v>
      </c>
      <c r="D376" s="113">
        <v>1</v>
      </c>
      <c r="E376" s="111"/>
      <c r="F376" s="113">
        <f t="shared" si="73"/>
        <v>0</v>
      </c>
      <c r="G376" s="113">
        <f t="shared" si="74"/>
        <v>0</v>
      </c>
      <c r="H376" s="224">
        <f>D376*G376</f>
        <v>0</v>
      </c>
      <c r="I376" s="54"/>
      <c r="J376" s="124">
        <f t="shared" si="75"/>
        <v>0</v>
      </c>
    </row>
    <row r="377" spans="1:10" ht="31.5" outlineLevel="2">
      <c r="A377" s="57" t="s">
        <v>1217</v>
      </c>
      <c r="B377" s="53" t="s">
        <v>990</v>
      </c>
      <c r="C377" s="169" t="s">
        <v>80</v>
      </c>
      <c r="D377" s="113">
        <v>3</v>
      </c>
      <c r="E377" s="111"/>
      <c r="F377" s="113">
        <f t="shared" si="73"/>
        <v>0</v>
      </c>
      <c r="G377" s="113">
        <f t="shared" si="74"/>
        <v>0</v>
      </c>
      <c r="H377" s="224">
        <f>D377*G377</f>
        <v>0</v>
      </c>
      <c r="I377" s="54"/>
      <c r="J377" s="124">
        <f t="shared" si="75"/>
        <v>0</v>
      </c>
    </row>
    <row r="378" spans="1:10" ht="15.75" outlineLevel="2">
      <c r="A378" s="52"/>
      <c r="B378" s="53"/>
      <c r="C378" s="169"/>
      <c r="D378" s="113"/>
      <c r="E378" s="111"/>
      <c r="F378" s="113">
        <f t="shared" si="73"/>
        <v>0</v>
      </c>
      <c r="G378" s="113">
        <f t="shared" si="74"/>
        <v>0</v>
      </c>
      <c r="H378" s="224">
        <f>D378*G378</f>
        <v>0</v>
      </c>
      <c r="I378" s="54"/>
      <c r="J378" s="124">
        <f t="shared" si="75"/>
        <v>0</v>
      </c>
    </row>
    <row r="379" spans="1:10" s="119" customFormat="1" ht="15.75" outlineLevel="2">
      <c r="A379" s="50" t="s">
        <v>1218</v>
      </c>
      <c r="B379" s="125" t="s">
        <v>1047</v>
      </c>
      <c r="C379" s="168"/>
      <c r="D379" s="118"/>
      <c r="E379" s="118"/>
      <c r="F379" s="118">
        <f t="shared" si="73"/>
        <v>0</v>
      </c>
      <c r="G379" s="118">
        <f t="shared" si="74"/>
        <v>0</v>
      </c>
      <c r="H379" s="220">
        <f>SUBTOTAL(9,H380:H385)</f>
        <v>0</v>
      </c>
      <c r="I379" s="120"/>
      <c r="J379" s="124">
        <f t="shared" si="75"/>
        <v>0</v>
      </c>
    </row>
    <row r="380" spans="1:10" ht="31.5" outlineLevel="2">
      <c r="A380" s="57" t="s">
        <v>1219</v>
      </c>
      <c r="B380" s="53" t="s">
        <v>986</v>
      </c>
      <c r="C380" s="169" t="s">
        <v>80</v>
      </c>
      <c r="D380" s="113">
        <v>1</v>
      </c>
      <c r="E380" s="111"/>
      <c r="F380" s="113">
        <f t="shared" si="73"/>
        <v>0</v>
      </c>
      <c r="G380" s="113">
        <f t="shared" si="74"/>
        <v>0</v>
      </c>
      <c r="H380" s="224">
        <f>D380*G380</f>
        <v>0</v>
      </c>
      <c r="I380" s="54"/>
      <c r="J380" s="124">
        <f t="shared" si="75"/>
        <v>0</v>
      </c>
    </row>
    <row r="381" spans="1:10" ht="31.5" outlineLevel="2">
      <c r="A381" s="57" t="s">
        <v>1220</v>
      </c>
      <c r="B381" s="53" t="s">
        <v>990</v>
      </c>
      <c r="C381" s="169" t="s">
        <v>80</v>
      </c>
      <c r="D381" s="113">
        <v>1</v>
      </c>
      <c r="E381" s="111"/>
      <c r="F381" s="113">
        <f>+E381*$H$7</f>
        <v>0</v>
      </c>
      <c r="G381" s="113">
        <f t="shared" si="74"/>
        <v>0</v>
      </c>
      <c r="H381" s="224">
        <f>D381*G381</f>
        <v>0</v>
      </c>
      <c r="I381" s="54"/>
      <c r="J381" s="124">
        <f aca="true" t="shared" si="76" ref="J381:J387">+D381*G381</f>
        <v>0</v>
      </c>
    </row>
    <row r="382" spans="1:10" ht="31.5" outlineLevel="2">
      <c r="A382" s="57" t="s">
        <v>1221</v>
      </c>
      <c r="B382" s="53" t="s">
        <v>992</v>
      </c>
      <c r="C382" s="169" t="s">
        <v>80</v>
      </c>
      <c r="D382" s="113">
        <v>8</v>
      </c>
      <c r="E382" s="111"/>
      <c r="F382" s="113">
        <f>+E382*$H$7</f>
        <v>0</v>
      </c>
      <c r="G382" s="113">
        <f t="shared" si="74"/>
        <v>0</v>
      </c>
      <c r="H382" s="224">
        <f>D382*G382</f>
        <v>0</v>
      </c>
      <c r="I382" s="54"/>
      <c r="J382" s="124">
        <f t="shared" si="76"/>
        <v>0</v>
      </c>
    </row>
    <row r="383" spans="1:10" ht="15.75" outlineLevel="2">
      <c r="A383" s="57" t="s">
        <v>1222</v>
      </c>
      <c r="B383" s="53" t="s">
        <v>994</v>
      </c>
      <c r="C383" s="169" t="s">
        <v>80</v>
      </c>
      <c r="D383" s="113">
        <v>1</v>
      </c>
      <c r="E383" s="111"/>
      <c r="F383" s="113">
        <f>+E383*$H$7</f>
        <v>0</v>
      </c>
      <c r="G383" s="113">
        <f t="shared" si="74"/>
        <v>0</v>
      </c>
      <c r="H383" s="224">
        <f>D383*G383</f>
        <v>0</v>
      </c>
      <c r="I383" s="54"/>
      <c r="J383" s="124">
        <f t="shared" si="76"/>
        <v>0</v>
      </c>
    </row>
    <row r="384" spans="1:10" ht="15.75" outlineLevel="2">
      <c r="A384" s="57" t="s">
        <v>1223</v>
      </c>
      <c r="B384" s="53" t="s">
        <v>983</v>
      </c>
      <c r="C384" s="169" t="s">
        <v>80</v>
      </c>
      <c r="D384" s="113">
        <v>4</v>
      </c>
      <c r="E384" s="111"/>
      <c r="F384" s="113">
        <f>+E384*$H$7</f>
        <v>0</v>
      </c>
      <c r="G384" s="113">
        <f t="shared" si="74"/>
        <v>0</v>
      </c>
      <c r="H384" s="224">
        <f>D384*G384</f>
        <v>0</v>
      </c>
      <c r="I384" s="54"/>
      <c r="J384" s="124">
        <f t="shared" si="76"/>
        <v>0</v>
      </c>
    </row>
    <row r="385" spans="1:10" ht="15.75" outlineLevel="2">
      <c r="A385" s="52"/>
      <c r="B385" s="53"/>
      <c r="C385" s="169"/>
      <c r="D385" s="113"/>
      <c r="E385" s="111"/>
      <c r="F385" s="113"/>
      <c r="G385" s="113"/>
      <c r="H385" s="224"/>
      <c r="I385" s="54"/>
      <c r="J385" s="124">
        <f t="shared" si="76"/>
        <v>0</v>
      </c>
    </row>
    <row r="386" spans="1:10" s="119" customFormat="1" ht="15.75" outlineLevel="2">
      <c r="A386" s="50" t="s">
        <v>1224</v>
      </c>
      <c r="B386" s="125" t="s">
        <v>1048</v>
      </c>
      <c r="C386" s="168"/>
      <c r="D386" s="118"/>
      <c r="E386" s="118"/>
      <c r="F386" s="118">
        <f aca="true" t="shared" si="77" ref="F386:F394">+E386*$H$7</f>
        <v>0</v>
      </c>
      <c r="G386" s="118">
        <f aca="true" t="shared" si="78" ref="G386:G394">+E386+F386</f>
        <v>0</v>
      </c>
      <c r="H386" s="220">
        <f>SUBTOTAL(9,H387:H395)</f>
        <v>0</v>
      </c>
      <c r="I386" s="120"/>
      <c r="J386" s="124">
        <f t="shared" si="76"/>
        <v>0</v>
      </c>
    </row>
    <row r="387" spans="1:10" ht="31.5" outlineLevel="2">
      <c r="A387" s="57" t="s">
        <v>1225</v>
      </c>
      <c r="B387" s="53" t="s">
        <v>988</v>
      </c>
      <c r="C387" s="169" t="s">
        <v>80</v>
      </c>
      <c r="D387" s="113">
        <v>1</v>
      </c>
      <c r="E387" s="111"/>
      <c r="F387" s="113">
        <f t="shared" si="77"/>
        <v>0</v>
      </c>
      <c r="G387" s="113">
        <f t="shared" si="78"/>
        <v>0</v>
      </c>
      <c r="H387" s="224">
        <f aca="true" t="shared" si="79" ref="H387:H394">D387*G387</f>
        <v>0</v>
      </c>
      <c r="I387" s="54"/>
      <c r="J387" s="124">
        <f t="shared" si="76"/>
        <v>0</v>
      </c>
    </row>
    <row r="388" spans="1:10" ht="31.5" outlineLevel="2">
      <c r="A388" s="57" t="s">
        <v>1226</v>
      </c>
      <c r="B388" s="53" t="s">
        <v>992</v>
      </c>
      <c r="C388" s="169" t="s">
        <v>80</v>
      </c>
      <c r="D388" s="113">
        <v>1</v>
      </c>
      <c r="E388" s="111"/>
      <c r="F388" s="113">
        <f t="shared" si="77"/>
        <v>0</v>
      </c>
      <c r="G388" s="113">
        <f t="shared" si="78"/>
        <v>0</v>
      </c>
      <c r="H388" s="224">
        <f t="shared" si="79"/>
        <v>0</v>
      </c>
      <c r="I388" s="54"/>
      <c r="J388" s="124">
        <f aca="true" t="shared" si="80" ref="J388:J394">+D388*G388</f>
        <v>0</v>
      </c>
    </row>
    <row r="389" spans="1:10" ht="15.75" outlineLevel="2">
      <c r="A389" s="57" t="s">
        <v>1227</v>
      </c>
      <c r="B389" s="53" t="s">
        <v>996</v>
      </c>
      <c r="C389" s="169" t="s">
        <v>80</v>
      </c>
      <c r="D389" s="113">
        <v>20</v>
      </c>
      <c r="E389" s="111"/>
      <c r="F389" s="113">
        <f t="shared" si="77"/>
        <v>0</v>
      </c>
      <c r="G389" s="113">
        <f t="shared" si="78"/>
        <v>0</v>
      </c>
      <c r="H389" s="224">
        <f t="shared" si="79"/>
        <v>0</v>
      </c>
      <c r="I389" s="54"/>
      <c r="J389" s="124">
        <f t="shared" si="80"/>
        <v>0</v>
      </c>
    </row>
    <row r="390" spans="1:10" ht="31.5" outlineLevel="2">
      <c r="A390" s="57" t="s">
        <v>1228</v>
      </c>
      <c r="B390" s="53" t="s">
        <v>998</v>
      </c>
      <c r="C390" s="169" t="s">
        <v>80</v>
      </c>
      <c r="D390" s="113">
        <v>15</v>
      </c>
      <c r="E390" s="111"/>
      <c r="F390" s="113">
        <f t="shared" si="77"/>
        <v>0</v>
      </c>
      <c r="G390" s="113">
        <f t="shared" si="78"/>
        <v>0</v>
      </c>
      <c r="H390" s="224">
        <f t="shared" si="79"/>
        <v>0</v>
      </c>
      <c r="I390" s="54"/>
      <c r="J390" s="124">
        <f t="shared" si="80"/>
        <v>0</v>
      </c>
    </row>
    <row r="391" spans="1:10" ht="31.5" outlineLevel="2">
      <c r="A391" s="57" t="s">
        <v>1229</v>
      </c>
      <c r="B391" s="53" t="s">
        <v>1000</v>
      </c>
      <c r="C391" s="169" t="s">
        <v>80</v>
      </c>
      <c r="D391" s="113">
        <v>1</v>
      </c>
      <c r="E391" s="111"/>
      <c r="F391" s="113">
        <f t="shared" si="77"/>
        <v>0</v>
      </c>
      <c r="G391" s="113">
        <f t="shared" si="78"/>
        <v>0</v>
      </c>
      <c r="H391" s="224">
        <f t="shared" si="79"/>
        <v>0</v>
      </c>
      <c r="I391" s="54"/>
      <c r="J391" s="124">
        <f t="shared" si="80"/>
        <v>0</v>
      </c>
    </row>
    <row r="392" spans="1:10" ht="15.75" outlineLevel="2">
      <c r="A392" s="57" t="s">
        <v>1230</v>
      </c>
      <c r="B392" s="53" t="s">
        <v>1046</v>
      </c>
      <c r="C392" s="169" t="s">
        <v>80</v>
      </c>
      <c r="D392" s="113">
        <v>5</v>
      </c>
      <c r="E392" s="111"/>
      <c r="F392" s="113">
        <f t="shared" si="77"/>
        <v>0</v>
      </c>
      <c r="G392" s="113">
        <f t="shared" si="78"/>
        <v>0</v>
      </c>
      <c r="H392" s="224">
        <f t="shared" si="79"/>
        <v>0</v>
      </c>
      <c r="I392" s="54"/>
      <c r="J392" s="124">
        <f t="shared" si="80"/>
        <v>0</v>
      </c>
    </row>
    <row r="393" spans="1:10" ht="15.75" outlineLevel="2">
      <c r="A393" s="57" t="s">
        <v>1231</v>
      </c>
      <c r="B393" s="53" t="s">
        <v>1002</v>
      </c>
      <c r="C393" s="169" t="s">
        <v>80</v>
      </c>
      <c r="D393" s="113">
        <v>10</v>
      </c>
      <c r="E393" s="111"/>
      <c r="F393" s="113">
        <f t="shared" si="77"/>
        <v>0</v>
      </c>
      <c r="G393" s="113">
        <f t="shared" si="78"/>
        <v>0</v>
      </c>
      <c r="H393" s="224">
        <f t="shared" si="79"/>
        <v>0</v>
      </c>
      <c r="I393" s="54"/>
      <c r="J393" s="124">
        <f t="shared" si="80"/>
        <v>0</v>
      </c>
    </row>
    <row r="394" spans="1:10" ht="15.75" outlineLevel="2">
      <c r="A394" s="57" t="s">
        <v>1232</v>
      </c>
      <c r="B394" s="53" t="s">
        <v>983</v>
      </c>
      <c r="C394" s="169" t="s">
        <v>80</v>
      </c>
      <c r="D394" s="113">
        <v>4</v>
      </c>
      <c r="E394" s="111"/>
      <c r="F394" s="113">
        <f t="shared" si="77"/>
        <v>0</v>
      </c>
      <c r="G394" s="113">
        <f t="shared" si="78"/>
        <v>0</v>
      </c>
      <c r="H394" s="224">
        <f t="shared" si="79"/>
        <v>0</v>
      </c>
      <c r="I394" s="54"/>
      <c r="J394" s="124">
        <f t="shared" si="80"/>
        <v>0</v>
      </c>
    </row>
    <row r="395" spans="1:10" ht="15.75" outlineLevel="2">
      <c r="A395" s="57"/>
      <c r="B395" s="53"/>
      <c r="C395" s="169"/>
      <c r="D395" s="113"/>
      <c r="E395" s="111"/>
      <c r="F395" s="113"/>
      <c r="G395" s="113"/>
      <c r="H395" s="224"/>
      <c r="I395" s="54"/>
      <c r="J395" s="124">
        <f>+D395*G395</f>
        <v>0</v>
      </c>
    </row>
    <row r="396" spans="1:10" ht="15.75">
      <c r="A396" s="59" t="s">
        <v>40</v>
      </c>
      <c r="B396" s="60" t="s">
        <v>21</v>
      </c>
      <c r="C396" s="171">
        <v>0</v>
      </c>
      <c r="D396" s="112"/>
      <c r="E396" s="112"/>
      <c r="F396" s="112">
        <f>+E396*$H$7</f>
        <v>0</v>
      </c>
      <c r="G396" s="112">
        <f>+E396+F396</f>
        <v>0</v>
      </c>
      <c r="H396" s="223">
        <f>SUBTOTAL(9,H397:H451)</f>
        <v>0</v>
      </c>
      <c r="I396" s="54"/>
      <c r="J396" s="124">
        <f aca="true" t="shared" si="81" ref="J396:J414">+D396*G396</f>
        <v>0</v>
      </c>
    </row>
    <row r="397" spans="1:10" s="119" customFormat="1" ht="15.75" outlineLevel="1">
      <c r="A397" s="50" t="s">
        <v>561</v>
      </c>
      <c r="B397" s="151" t="s">
        <v>712</v>
      </c>
      <c r="C397" s="168"/>
      <c r="D397" s="118"/>
      <c r="E397" s="118"/>
      <c r="F397" s="118">
        <f>+E397*$H$7</f>
        <v>0</v>
      </c>
      <c r="G397" s="118">
        <f>+E397+F397</f>
        <v>0</v>
      </c>
      <c r="H397" s="220">
        <f>SUBTOTAL(9,H398:H400)</f>
        <v>0</v>
      </c>
      <c r="I397" s="120"/>
      <c r="J397" s="124">
        <f t="shared" si="81"/>
        <v>0</v>
      </c>
    </row>
    <row r="398" spans="1:10" ht="31.5" outlineLevel="2">
      <c r="A398" s="57" t="s">
        <v>579</v>
      </c>
      <c r="B398" s="53" t="s">
        <v>248</v>
      </c>
      <c r="C398" s="169" t="s">
        <v>88</v>
      </c>
      <c r="D398" s="113">
        <v>306</v>
      </c>
      <c r="E398" s="111"/>
      <c r="F398" s="113">
        <f>+E398*$H$7</f>
        <v>0</v>
      </c>
      <c r="G398" s="113">
        <f>+E398+F398</f>
        <v>0</v>
      </c>
      <c r="H398" s="224">
        <f>D398*G398</f>
        <v>0</v>
      </c>
      <c r="I398" s="54"/>
      <c r="J398" s="124">
        <f t="shared" si="81"/>
        <v>0</v>
      </c>
    </row>
    <row r="399" spans="1:10" ht="15.75" outlineLevel="2">
      <c r="A399" s="57" t="s">
        <v>681</v>
      </c>
      <c r="B399" s="53" t="s">
        <v>250</v>
      </c>
      <c r="C399" s="169" t="s">
        <v>3</v>
      </c>
      <c r="D399" s="113">
        <f>0.2*0.2*3.1416*6+0.15*0.15*3.1416*2</f>
        <v>0.8953560000000003</v>
      </c>
      <c r="E399" s="111"/>
      <c r="F399" s="113">
        <f>+E399*$H$7</f>
        <v>0</v>
      </c>
      <c r="G399" s="113">
        <f>+E399+F399</f>
        <v>0</v>
      </c>
      <c r="H399" s="224">
        <f>D399*G399</f>
        <v>0</v>
      </c>
      <c r="I399" s="54"/>
      <c r="J399" s="124">
        <f t="shared" si="81"/>
        <v>0</v>
      </c>
    </row>
    <row r="400" spans="1:10" ht="15.75" outlineLevel="2">
      <c r="A400" s="52"/>
      <c r="B400" s="58"/>
      <c r="C400" s="173"/>
      <c r="D400" s="113"/>
      <c r="E400" s="113"/>
      <c r="F400" s="113"/>
      <c r="G400" s="113"/>
      <c r="H400" s="224"/>
      <c r="I400" s="54"/>
      <c r="J400" s="124">
        <f t="shared" si="81"/>
        <v>0</v>
      </c>
    </row>
    <row r="401" spans="1:10" s="119" customFormat="1" ht="15.75" outlineLevel="1">
      <c r="A401" s="50" t="s">
        <v>1233</v>
      </c>
      <c r="B401" s="151" t="s">
        <v>694</v>
      </c>
      <c r="C401" s="168"/>
      <c r="D401" s="118"/>
      <c r="E401" s="118"/>
      <c r="F401" s="118">
        <f aca="true" t="shared" si="82" ref="F401:F434">+E401*$H$7</f>
        <v>0</v>
      </c>
      <c r="G401" s="118">
        <f aca="true" t="shared" si="83" ref="G401:G465">+E401+F401</f>
        <v>0</v>
      </c>
      <c r="H401" s="220">
        <f>SUBTOTAL(9,H402:H411)</f>
        <v>0</v>
      </c>
      <c r="I401" s="120"/>
      <c r="J401" s="124">
        <f t="shared" si="81"/>
        <v>0</v>
      </c>
    </row>
    <row r="402" spans="1:10" ht="15.75" outlineLevel="2">
      <c r="A402" s="57" t="s">
        <v>1234</v>
      </c>
      <c r="B402" s="53" t="s">
        <v>242</v>
      </c>
      <c r="C402" s="169" t="s">
        <v>88</v>
      </c>
      <c r="D402" s="113">
        <v>138</v>
      </c>
      <c r="E402" s="111"/>
      <c r="F402" s="113">
        <f t="shared" si="82"/>
        <v>0</v>
      </c>
      <c r="G402" s="113">
        <f t="shared" si="83"/>
        <v>0</v>
      </c>
      <c r="H402" s="224">
        <f aca="true" t="shared" si="84" ref="H402:H411">D402*G402</f>
        <v>0</v>
      </c>
      <c r="I402" s="54"/>
      <c r="J402" s="124">
        <f t="shared" si="81"/>
        <v>0</v>
      </c>
    </row>
    <row r="403" spans="1:10" ht="15.75" outlineLevel="2">
      <c r="A403" s="57" t="s">
        <v>1235</v>
      </c>
      <c r="B403" s="53" t="s">
        <v>244</v>
      </c>
      <c r="C403" s="169" t="s">
        <v>88</v>
      </c>
      <c r="D403" s="113">
        <v>108</v>
      </c>
      <c r="E403" s="111"/>
      <c r="F403" s="113">
        <f t="shared" si="82"/>
        <v>0</v>
      </c>
      <c r="G403" s="113">
        <f t="shared" si="83"/>
        <v>0</v>
      </c>
      <c r="H403" s="224">
        <f t="shared" si="84"/>
        <v>0</v>
      </c>
      <c r="I403" s="54"/>
      <c r="J403" s="124">
        <f t="shared" si="81"/>
        <v>0</v>
      </c>
    </row>
    <row r="404" spans="1:10" ht="15.75" outlineLevel="2">
      <c r="A404" s="57" t="s">
        <v>1236</v>
      </c>
      <c r="B404" s="53" t="s">
        <v>654</v>
      </c>
      <c r="C404" s="169" t="s">
        <v>88</v>
      </c>
      <c r="D404" s="113">
        <v>66</v>
      </c>
      <c r="E404" s="111"/>
      <c r="F404" s="113">
        <f t="shared" si="82"/>
        <v>0</v>
      </c>
      <c r="G404" s="113">
        <f t="shared" si="83"/>
        <v>0</v>
      </c>
      <c r="H404" s="224">
        <f t="shared" si="84"/>
        <v>0</v>
      </c>
      <c r="I404" s="54"/>
      <c r="J404" s="124">
        <f t="shared" si="81"/>
        <v>0</v>
      </c>
    </row>
    <row r="405" spans="1:10" ht="15.75" outlineLevel="2">
      <c r="A405" s="57" t="s">
        <v>1237</v>
      </c>
      <c r="B405" s="53" t="s">
        <v>246</v>
      </c>
      <c r="C405" s="169" t="s">
        <v>88</v>
      </c>
      <c r="D405" s="113">
        <v>60</v>
      </c>
      <c r="E405" s="111"/>
      <c r="F405" s="113">
        <f t="shared" si="82"/>
        <v>0</v>
      </c>
      <c r="G405" s="113">
        <f t="shared" si="83"/>
        <v>0</v>
      </c>
      <c r="H405" s="224">
        <f t="shared" si="84"/>
        <v>0</v>
      </c>
      <c r="I405" s="54"/>
      <c r="J405" s="124">
        <f t="shared" si="81"/>
        <v>0</v>
      </c>
    </row>
    <row r="406" spans="1:10" ht="15.75" outlineLevel="2">
      <c r="A406" s="57" t="s">
        <v>1238</v>
      </c>
      <c r="B406" s="53" t="s">
        <v>655</v>
      </c>
      <c r="C406" s="169" t="s">
        <v>88</v>
      </c>
      <c r="D406" s="113">
        <v>30</v>
      </c>
      <c r="E406" s="111"/>
      <c r="F406" s="113">
        <f t="shared" si="82"/>
        <v>0</v>
      </c>
      <c r="G406" s="113">
        <f>+E406+F406</f>
        <v>0</v>
      </c>
      <c r="H406" s="224">
        <f t="shared" si="84"/>
        <v>0</v>
      </c>
      <c r="I406" s="54"/>
      <c r="J406" s="124">
        <f t="shared" si="81"/>
        <v>0</v>
      </c>
    </row>
    <row r="407" spans="1:10" ht="15.75" outlineLevel="2">
      <c r="A407" s="57" t="s">
        <v>1239</v>
      </c>
      <c r="B407" s="53" t="s">
        <v>110</v>
      </c>
      <c r="C407" s="169" t="s">
        <v>88</v>
      </c>
      <c r="D407" s="113">
        <v>174</v>
      </c>
      <c r="E407" s="111"/>
      <c r="F407" s="113">
        <f t="shared" si="82"/>
        <v>0</v>
      </c>
      <c r="G407" s="113">
        <f>+E407+F407</f>
        <v>0</v>
      </c>
      <c r="H407" s="224">
        <f t="shared" si="84"/>
        <v>0</v>
      </c>
      <c r="I407" s="54"/>
      <c r="J407" s="124">
        <f t="shared" si="81"/>
        <v>0</v>
      </c>
    </row>
    <row r="408" spans="1:10" ht="31.5" outlineLevel="2">
      <c r="A408" s="57" t="s">
        <v>1240</v>
      </c>
      <c r="B408" s="53" t="s">
        <v>656</v>
      </c>
      <c r="C408" s="169" t="s">
        <v>80</v>
      </c>
      <c r="D408" s="113">
        <v>11</v>
      </c>
      <c r="E408" s="111"/>
      <c r="F408" s="113">
        <f t="shared" si="82"/>
        <v>0</v>
      </c>
      <c r="G408" s="113">
        <f>+E408+F408</f>
        <v>0</v>
      </c>
      <c r="H408" s="224">
        <f t="shared" si="84"/>
        <v>0</v>
      </c>
      <c r="I408" s="54"/>
      <c r="J408" s="124">
        <f t="shared" si="81"/>
        <v>0</v>
      </c>
    </row>
    <row r="409" spans="1:10" ht="15.75" outlineLevel="2">
      <c r="A409" s="57" t="s">
        <v>1241</v>
      </c>
      <c r="B409" s="53" t="s">
        <v>657</v>
      </c>
      <c r="C409" s="169" t="s">
        <v>80</v>
      </c>
      <c r="D409" s="113">
        <v>1</v>
      </c>
      <c r="E409" s="111"/>
      <c r="F409" s="113">
        <f t="shared" si="82"/>
        <v>0</v>
      </c>
      <c r="G409" s="113">
        <f>+E409+F409</f>
        <v>0</v>
      </c>
      <c r="H409" s="224">
        <f t="shared" si="84"/>
        <v>0</v>
      </c>
      <c r="I409" s="54"/>
      <c r="J409" s="124">
        <f t="shared" si="81"/>
        <v>0</v>
      </c>
    </row>
    <row r="410" spans="1:10" ht="15.75" outlineLevel="2">
      <c r="A410" s="57" t="s">
        <v>1242</v>
      </c>
      <c r="B410" s="200" t="s">
        <v>1369</v>
      </c>
      <c r="C410" s="183" t="s">
        <v>80</v>
      </c>
      <c r="D410" s="179">
        <v>2</v>
      </c>
      <c r="E410" s="147"/>
      <c r="F410" s="113">
        <f t="shared" si="82"/>
        <v>0</v>
      </c>
      <c r="G410" s="113">
        <f>+E410+F410</f>
        <v>0</v>
      </c>
      <c r="H410" s="224">
        <f t="shared" si="84"/>
        <v>0</v>
      </c>
      <c r="I410" s="54"/>
      <c r="J410" s="124">
        <f t="shared" si="81"/>
        <v>0</v>
      </c>
    </row>
    <row r="411" spans="1:10" ht="15.75" outlineLevel="2">
      <c r="A411" s="52"/>
      <c r="B411" s="58"/>
      <c r="C411" s="173"/>
      <c r="D411" s="113"/>
      <c r="E411" s="113"/>
      <c r="F411" s="113">
        <f t="shared" si="82"/>
        <v>0</v>
      </c>
      <c r="G411" s="113">
        <f aca="true" t="shared" si="85" ref="G411:G418">+E411+F411</f>
        <v>0</v>
      </c>
      <c r="H411" s="224">
        <f t="shared" si="84"/>
        <v>0</v>
      </c>
      <c r="I411" s="54"/>
      <c r="J411" s="124">
        <f t="shared" si="81"/>
        <v>0</v>
      </c>
    </row>
    <row r="412" spans="1:10" s="119" customFormat="1" ht="15.75" outlineLevel="1">
      <c r="A412" s="50" t="s">
        <v>1243</v>
      </c>
      <c r="B412" s="151" t="s">
        <v>693</v>
      </c>
      <c r="C412" s="168"/>
      <c r="D412" s="118"/>
      <c r="E412" s="118"/>
      <c r="F412" s="118">
        <f t="shared" si="82"/>
        <v>0</v>
      </c>
      <c r="G412" s="118">
        <f t="shared" si="85"/>
        <v>0</v>
      </c>
      <c r="H412" s="220">
        <f>SUBTOTAL(9,H413:H423)</f>
        <v>0</v>
      </c>
      <c r="I412" s="120"/>
      <c r="J412" s="124">
        <f t="shared" si="81"/>
        <v>0</v>
      </c>
    </row>
    <row r="413" spans="1:10" ht="31.5" outlineLevel="2">
      <c r="A413" s="57" t="s">
        <v>1244</v>
      </c>
      <c r="B413" s="200" t="s">
        <v>1380</v>
      </c>
      <c r="C413" s="183" t="s">
        <v>4</v>
      </c>
      <c r="D413" s="179">
        <v>1</v>
      </c>
      <c r="E413" s="147"/>
      <c r="F413" s="113">
        <f t="shared" si="82"/>
        <v>0</v>
      </c>
      <c r="G413" s="113">
        <f t="shared" si="85"/>
        <v>0</v>
      </c>
      <c r="H413" s="224">
        <f aca="true" t="shared" si="86" ref="H413:H423">D413*G413</f>
        <v>0</v>
      </c>
      <c r="I413" s="54"/>
      <c r="J413" s="124">
        <f t="shared" si="81"/>
        <v>0</v>
      </c>
    </row>
    <row r="414" spans="1:10" ht="31.5" outlineLevel="2">
      <c r="A414" s="57" t="s">
        <v>1245</v>
      </c>
      <c r="B414" s="53" t="s">
        <v>652</v>
      </c>
      <c r="C414" s="169" t="s">
        <v>88</v>
      </c>
      <c r="D414" s="113">
        <v>102</v>
      </c>
      <c r="E414" s="111"/>
      <c r="F414" s="113">
        <f t="shared" si="82"/>
        <v>0</v>
      </c>
      <c r="G414" s="113">
        <f t="shared" si="85"/>
        <v>0</v>
      </c>
      <c r="H414" s="224">
        <f t="shared" si="86"/>
        <v>0</v>
      </c>
      <c r="I414" s="54"/>
      <c r="J414" s="124">
        <f t="shared" si="81"/>
        <v>0</v>
      </c>
    </row>
    <row r="415" spans="1:10" ht="31.5" outlineLevel="2">
      <c r="A415" s="57" t="s">
        <v>1246</v>
      </c>
      <c r="B415" s="53" t="s">
        <v>1004</v>
      </c>
      <c r="C415" s="169" t="s">
        <v>88</v>
      </c>
      <c r="D415" s="113">
        <v>126</v>
      </c>
      <c r="E415" s="111"/>
      <c r="F415" s="113">
        <f t="shared" si="82"/>
        <v>0</v>
      </c>
      <c r="G415" s="113">
        <f t="shared" si="85"/>
        <v>0</v>
      </c>
      <c r="H415" s="224">
        <f t="shared" si="86"/>
        <v>0</v>
      </c>
      <c r="I415" s="54"/>
      <c r="J415" s="124">
        <f aca="true" t="shared" si="87" ref="J415:J485">+D415*G415</f>
        <v>0</v>
      </c>
    </row>
    <row r="416" spans="1:10" ht="31.5" outlineLevel="2">
      <c r="A416" s="57" t="s">
        <v>1247</v>
      </c>
      <c r="B416" s="53" t="s">
        <v>1006</v>
      </c>
      <c r="C416" s="169" t="s">
        <v>88</v>
      </c>
      <c r="D416" s="113">
        <v>186</v>
      </c>
      <c r="E416" s="111"/>
      <c r="F416" s="113">
        <f t="shared" si="82"/>
        <v>0</v>
      </c>
      <c r="G416" s="113">
        <f t="shared" si="85"/>
        <v>0</v>
      </c>
      <c r="H416" s="224">
        <f t="shared" si="86"/>
        <v>0</v>
      </c>
      <c r="I416" s="54"/>
      <c r="J416" s="124">
        <f t="shared" si="87"/>
        <v>0</v>
      </c>
    </row>
    <row r="417" spans="1:10" ht="31.5" outlineLevel="2">
      <c r="A417" s="57" t="s">
        <v>1248</v>
      </c>
      <c r="B417" s="53" t="s">
        <v>1008</v>
      </c>
      <c r="C417" s="169" t="s">
        <v>88</v>
      </c>
      <c r="D417" s="113">
        <v>390</v>
      </c>
      <c r="E417" s="111"/>
      <c r="F417" s="113">
        <f t="shared" si="82"/>
        <v>0</v>
      </c>
      <c r="G417" s="113">
        <f t="shared" si="85"/>
        <v>0</v>
      </c>
      <c r="H417" s="224">
        <f t="shared" si="86"/>
        <v>0</v>
      </c>
      <c r="I417" s="54"/>
      <c r="J417" s="124">
        <f t="shared" si="87"/>
        <v>0</v>
      </c>
    </row>
    <row r="418" spans="1:10" ht="15.75" outlineLevel="2">
      <c r="A418" s="57" t="s">
        <v>1249</v>
      </c>
      <c r="B418" s="53" t="s">
        <v>653</v>
      </c>
      <c r="C418" s="169" t="s">
        <v>80</v>
      </c>
      <c r="D418" s="113">
        <v>26</v>
      </c>
      <c r="E418" s="111"/>
      <c r="F418" s="113">
        <f t="shared" si="82"/>
        <v>0</v>
      </c>
      <c r="G418" s="113">
        <f t="shared" si="85"/>
        <v>0</v>
      </c>
      <c r="H418" s="224">
        <f t="shared" si="86"/>
        <v>0</v>
      </c>
      <c r="I418" s="54"/>
      <c r="J418" s="124">
        <f t="shared" si="87"/>
        <v>0</v>
      </c>
    </row>
    <row r="419" spans="1:10" ht="15.75" outlineLevel="2">
      <c r="A419" s="57" t="s">
        <v>1250</v>
      </c>
      <c r="B419" s="53" t="s">
        <v>1010</v>
      </c>
      <c r="C419" s="169" t="s">
        <v>80</v>
      </c>
      <c r="D419" s="113">
        <v>10</v>
      </c>
      <c r="E419" s="111"/>
      <c r="F419" s="113">
        <f t="shared" si="82"/>
        <v>0</v>
      </c>
      <c r="G419" s="113">
        <f>+E419+F419</f>
        <v>0</v>
      </c>
      <c r="H419" s="224">
        <f>D419*G419</f>
        <v>0</v>
      </c>
      <c r="I419" s="54"/>
      <c r="J419" s="124">
        <f>+D419*G419</f>
        <v>0</v>
      </c>
    </row>
    <row r="420" spans="1:10" ht="15.75" outlineLevel="2">
      <c r="A420" s="57" t="s">
        <v>1251</v>
      </c>
      <c r="B420" s="200" t="s">
        <v>1067</v>
      </c>
      <c r="C420" s="183" t="s">
        <v>80</v>
      </c>
      <c r="D420" s="179">
        <v>1</v>
      </c>
      <c r="E420" s="147"/>
      <c r="F420" s="113">
        <f t="shared" si="82"/>
        <v>0</v>
      </c>
      <c r="G420" s="113">
        <f>+E420+F420</f>
        <v>0</v>
      </c>
      <c r="H420" s="224">
        <f>D420*G420</f>
        <v>0</v>
      </c>
      <c r="I420" s="54"/>
      <c r="J420" s="124">
        <f>+D420*G420</f>
        <v>0</v>
      </c>
    </row>
    <row r="421" spans="1:10" ht="17.25" customHeight="1" outlineLevel="2">
      <c r="A421" s="57" t="s">
        <v>1386</v>
      </c>
      <c r="B421" s="200" t="s">
        <v>1370</v>
      </c>
      <c r="C421" s="183" t="s">
        <v>80</v>
      </c>
      <c r="D421" s="179">
        <v>1</v>
      </c>
      <c r="E421" s="147"/>
      <c r="F421" s="113">
        <f t="shared" si="82"/>
        <v>0</v>
      </c>
      <c r="G421" s="113">
        <f>+E421+F421</f>
        <v>0</v>
      </c>
      <c r="H421" s="224">
        <f>D421*G421</f>
        <v>0</v>
      </c>
      <c r="I421" s="54"/>
      <c r="J421" s="124"/>
    </row>
    <row r="422" spans="1:10" ht="17.25" customHeight="1" outlineLevel="2">
      <c r="A422" s="57" t="s">
        <v>1387</v>
      </c>
      <c r="B422" s="200" t="s">
        <v>1371</v>
      </c>
      <c r="C422" s="183" t="s">
        <v>80</v>
      </c>
      <c r="D422" s="179">
        <v>1</v>
      </c>
      <c r="E422" s="147"/>
      <c r="F422" s="113">
        <f t="shared" si="82"/>
        <v>0</v>
      </c>
      <c r="G422" s="113">
        <f>+E422+F422</f>
        <v>0</v>
      </c>
      <c r="H422" s="224">
        <f>D422*G422</f>
        <v>0</v>
      </c>
      <c r="I422" s="54"/>
      <c r="J422" s="124"/>
    </row>
    <row r="423" spans="1:10" ht="15.75" outlineLevel="2">
      <c r="A423" s="52"/>
      <c r="B423" s="58"/>
      <c r="C423" s="173"/>
      <c r="D423" s="113"/>
      <c r="E423" s="113"/>
      <c r="F423" s="113">
        <f t="shared" si="82"/>
        <v>0</v>
      </c>
      <c r="G423" s="113">
        <f t="shared" si="83"/>
        <v>0</v>
      </c>
      <c r="H423" s="224">
        <f t="shared" si="86"/>
        <v>0</v>
      </c>
      <c r="I423" s="54"/>
      <c r="J423" s="124">
        <f t="shared" si="87"/>
        <v>0</v>
      </c>
    </row>
    <row r="424" spans="1:10" s="119" customFormat="1" ht="16.5" customHeight="1" outlineLevel="1">
      <c r="A424" s="50" t="s">
        <v>1252</v>
      </c>
      <c r="B424" s="151" t="s">
        <v>713</v>
      </c>
      <c r="C424" s="168"/>
      <c r="D424" s="118"/>
      <c r="E424" s="118"/>
      <c r="F424" s="118">
        <f t="shared" si="82"/>
        <v>0</v>
      </c>
      <c r="G424" s="118">
        <f t="shared" si="83"/>
        <v>0</v>
      </c>
      <c r="H424" s="220">
        <f>SUBTOTAL(9,H425:H430)</f>
        <v>0</v>
      </c>
      <c r="I424" s="120"/>
      <c r="J424" s="124">
        <f t="shared" si="87"/>
        <v>0</v>
      </c>
    </row>
    <row r="425" spans="1:10" ht="15.75" outlineLevel="2">
      <c r="A425" s="52" t="s">
        <v>1253</v>
      </c>
      <c r="B425" s="53" t="s">
        <v>74</v>
      </c>
      <c r="C425" s="169" t="s">
        <v>334</v>
      </c>
      <c r="D425" s="111">
        <v>96</v>
      </c>
      <c r="E425" s="111"/>
      <c r="F425" s="111">
        <f t="shared" si="82"/>
        <v>0</v>
      </c>
      <c r="G425" s="111">
        <f t="shared" si="83"/>
        <v>0</v>
      </c>
      <c r="H425" s="221">
        <f aca="true" t="shared" si="88" ref="H425:H430">D425*G425</f>
        <v>0</v>
      </c>
      <c r="I425" s="54"/>
      <c r="J425" s="124">
        <f t="shared" si="87"/>
        <v>0</v>
      </c>
    </row>
    <row r="426" spans="1:10" ht="15.75" outlineLevel="2">
      <c r="A426" s="52" t="s">
        <v>1254</v>
      </c>
      <c r="B426" s="53" t="s">
        <v>75</v>
      </c>
      <c r="C426" s="169" t="s">
        <v>334</v>
      </c>
      <c r="D426" s="111">
        <v>85.94688</v>
      </c>
      <c r="E426" s="111"/>
      <c r="F426" s="111">
        <f t="shared" si="82"/>
        <v>0</v>
      </c>
      <c r="G426" s="111">
        <f t="shared" si="83"/>
        <v>0</v>
      </c>
      <c r="H426" s="221">
        <f t="shared" si="88"/>
        <v>0</v>
      </c>
      <c r="I426" s="54"/>
      <c r="J426" s="124">
        <f t="shared" si="87"/>
        <v>0</v>
      </c>
    </row>
    <row r="427" spans="1:10" ht="15.75" outlineLevel="2">
      <c r="A427" s="52" t="s">
        <v>1255</v>
      </c>
      <c r="B427" s="53" t="s">
        <v>193</v>
      </c>
      <c r="C427" s="169" t="s">
        <v>334</v>
      </c>
      <c r="D427" s="111">
        <v>10.053120000000007</v>
      </c>
      <c r="E427" s="111"/>
      <c r="F427" s="111">
        <f t="shared" si="82"/>
        <v>0</v>
      </c>
      <c r="G427" s="111">
        <f t="shared" si="83"/>
        <v>0</v>
      </c>
      <c r="H427" s="221">
        <f t="shared" si="88"/>
        <v>0</v>
      </c>
      <c r="I427" s="54"/>
      <c r="J427" s="124">
        <f t="shared" si="87"/>
        <v>0</v>
      </c>
    </row>
    <row r="428" spans="1:10" ht="31.5" outlineLevel="2">
      <c r="A428" s="52" t="s">
        <v>1256</v>
      </c>
      <c r="B428" s="53" t="s">
        <v>86</v>
      </c>
      <c r="C428" s="169" t="s">
        <v>334</v>
      </c>
      <c r="D428" s="111">
        <f>+D427*45</f>
        <v>452.39040000000034</v>
      </c>
      <c r="E428" s="111"/>
      <c r="F428" s="111">
        <f t="shared" si="82"/>
        <v>0</v>
      </c>
      <c r="G428" s="111">
        <f t="shared" si="83"/>
        <v>0</v>
      </c>
      <c r="H428" s="221">
        <f t="shared" si="88"/>
        <v>0</v>
      </c>
      <c r="I428" s="54"/>
      <c r="J428" s="124">
        <f t="shared" si="87"/>
        <v>0</v>
      </c>
    </row>
    <row r="429" spans="1:10" ht="31.5" outlineLevel="2">
      <c r="A429" s="52" t="s">
        <v>1257</v>
      </c>
      <c r="B429" s="53" t="s">
        <v>328</v>
      </c>
      <c r="C429" s="170"/>
      <c r="D429" s="111">
        <v>80</v>
      </c>
      <c r="E429" s="111"/>
      <c r="F429" s="111">
        <f t="shared" si="82"/>
        <v>0</v>
      </c>
      <c r="G429" s="111">
        <f t="shared" si="83"/>
        <v>0</v>
      </c>
      <c r="H429" s="221">
        <f t="shared" si="88"/>
        <v>0</v>
      </c>
      <c r="I429" s="54"/>
      <c r="J429" s="124">
        <f t="shared" si="87"/>
        <v>0</v>
      </c>
    </row>
    <row r="430" spans="1:10" ht="15.75" outlineLevel="2">
      <c r="A430" s="52"/>
      <c r="B430" s="58">
        <v>0</v>
      </c>
      <c r="C430" s="173"/>
      <c r="D430" s="113"/>
      <c r="E430" s="113"/>
      <c r="F430" s="113">
        <f t="shared" si="82"/>
        <v>0</v>
      </c>
      <c r="G430" s="113">
        <f t="shared" si="83"/>
        <v>0</v>
      </c>
      <c r="H430" s="224">
        <f t="shared" si="88"/>
        <v>0</v>
      </c>
      <c r="I430" s="54"/>
      <c r="J430" s="124">
        <f t="shared" si="87"/>
        <v>0</v>
      </c>
    </row>
    <row r="431" spans="1:10" s="119" customFormat="1" ht="15.75" outlineLevel="1">
      <c r="A431" s="50" t="s">
        <v>1258</v>
      </c>
      <c r="B431" s="151" t="s">
        <v>320</v>
      </c>
      <c r="C431" s="172">
        <v>0</v>
      </c>
      <c r="D431" s="118"/>
      <c r="E431" s="118"/>
      <c r="F431" s="118">
        <f t="shared" si="82"/>
        <v>0</v>
      </c>
      <c r="G431" s="118">
        <f t="shared" si="83"/>
        <v>0</v>
      </c>
      <c r="H431" s="220">
        <f>SUBTOTAL(9,H432:H451)</f>
        <v>0</v>
      </c>
      <c r="I431" s="120"/>
      <c r="J431" s="124">
        <f t="shared" si="87"/>
        <v>0</v>
      </c>
    </row>
    <row r="432" spans="1:10" ht="15.75" outlineLevel="2">
      <c r="A432" s="52" t="s">
        <v>1259</v>
      </c>
      <c r="B432" s="53" t="s">
        <v>74</v>
      </c>
      <c r="C432" s="169" t="s">
        <v>334</v>
      </c>
      <c r="D432" s="111">
        <v>11.68992</v>
      </c>
      <c r="E432" s="111"/>
      <c r="F432" s="111">
        <f t="shared" si="82"/>
        <v>0</v>
      </c>
      <c r="G432" s="111">
        <f t="shared" si="83"/>
        <v>0</v>
      </c>
      <c r="H432" s="221">
        <f aca="true" t="shared" si="89" ref="H432:H444">D432*G432</f>
        <v>0</v>
      </c>
      <c r="I432" s="54"/>
      <c r="J432" s="124">
        <f t="shared" si="87"/>
        <v>0</v>
      </c>
    </row>
    <row r="433" spans="1:10" ht="15.75" outlineLevel="2">
      <c r="A433" s="52" t="s">
        <v>1260</v>
      </c>
      <c r="B433" s="53" t="s">
        <v>75</v>
      </c>
      <c r="C433" s="169" t="s">
        <v>334</v>
      </c>
      <c r="D433" s="111">
        <v>4.309920000000001</v>
      </c>
      <c r="E433" s="111"/>
      <c r="F433" s="111">
        <f t="shared" si="82"/>
        <v>0</v>
      </c>
      <c r="G433" s="111">
        <f t="shared" si="83"/>
        <v>0</v>
      </c>
      <c r="H433" s="221">
        <f t="shared" si="89"/>
        <v>0</v>
      </c>
      <c r="I433" s="54"/>
      <c r="J433" s="124">
        <f t="shared" si="87"/>
        <v>0</v>
      </c>
    </row>
    <row r="434" spans="1:10" ht="15.75" outlineLevel="2">
      <c r="A434" s="52" t="s">
        <v>1261</v>
      </c>
      <c r="B434" s="53" t="s">
        <v>193</v>
      </c>
      <c r="C434" s="169" t="s">
        <v>334</v>
      </c>
      <c r="D434" s="111">
        <v>5.656032</v>
      </c>
      <c r="E434" s="111"/>
      <c r="F434" s="111">
        <f t="shared" si="82"/>
        <v>0</v>
      </c>
      <c r="G434" s="111">
        <f t="shared" si="83"/>
        <v>0</v>
      </c>
      <c r="H434" s="221">
        <f t="shared" si="89"/>
        <v>0</v>
      </c>
      <c r="I434" s="54"/>
      <c r="J434" s="124">
        <f t="shared" si="87"/>
        <v>0</v>
      </c>
    </row>
    <row r="435" spans="1:10" ht="31.5" outlineLevel="2">
      <c r="A435" s="52" t="s">
        <v>1262</v>
      </c>
      <c r="B435" s="53" t="s">
        <v>86</v>
      </c>
      <c r="C435" s="169" t="s">
        <v>334</v>
      </c>
      <c r="D435" s="111">
        <f>+D434*45</f>
        <v>254.52143999999998</v>
      </c>
      <c r="E435" s="111"/>
      <c r="F435" s="111">
        <f aca="true" t="shared" si="90" ref="F435:F452">+E435*$H$7</f>
        <v>0</v>
      </c>
      <c r="G435" s="111">
        <f t="shared" si="83"/>
        <v>0</v>
      </c>
      <c r="H435" s="221">
        <f t="shared" si="89"/>
        <v>0</v>
      </c>
      <c r="I435" s="54"/>
      <c r="J435" s="124">
        <f t="shared" si="87"/>
        <v>0</v>
      </c>
    </row>
    <row r="436" spans="1:10" ht="31.5" outlineLevel="2">
      <c r="A436" s="52" t="s">
        <v>1263</v>
      </c>
      <c r="B436" s="53" t="s">
        <v>328</v>
      </c>
      <c r="C436" s="170"/>
      <c r="D436" s="111">
        <v>5.170000000000001</v>
      </c>
      <c r="E436" s="111"/>
      <c r="F436" s="111">
        <f t="shared" si="90"/>
        <v>0</v>
      </c>
      <c r="G436" s="111">
        <f t="shared" si="83"/>
        <v>0</v>
      </c>
      <c r="H436" s="221">
        <f t="shared" si="89"/>
        <v>0</v>
      </c>
      <c r="I436" s="54"/>
      <c r="J436" s="124">
        <f t="shared" si="87"/>
        <v>0</v>
      </c>
    </row>
    <row r="437" spans="1:10" ht="15.75" outlineLevel="2">
      <c r="A437" s="52" t="s">
        <v>1264</v>
      </c>
      <c r="B437" s="53" t="s">
        <v>208</v>
      </c>
      <c r="C437" s="169" t="s">
        <v>334</v>
      </c>
      <c r="D437" s="111">
        <v>5.170000000000001</v>
      </c>
      <c r="E437" s="111"/>
      <c r="F437" s="111">
        <f t="shared" si="90"/>
        <v>0</v>
      </c>
      <c r="G437" s="111">
        <f t="shared" si="83"/>
        <v>0</v>
      </c>
      <c r="H437" s="221">
        <f t="shared" si="89"/>
        <v>0</v>
      </c>
      <c r="I437" s="54"/>
      <c r="J437" s="124">
        <f t="shared" si="87"/>
        <v>0</v>
      </c>
    </row>
    <row r="438" spans="1:10" ht="15.75" outlineLevel="2">
      <c r="A438" s="52" t="s">
        <v>1265</v>
      </c>
      <c r="B438" s="53" t="s">
        <v>89</v>
      </c>
      <c r="C438" s="169" t="s">
        <v>3</v>
      </c>
      <c r="D438" s="111">
        <v>5.071000000000001</v>
      </c>
      <c r="E438" s="111"/>
      <c r="F438" s="111">
        <f t="shared" si="90"/>
        <v>0</v>
      </c>
      <c r="G438" s="111">
        <f t="shared" si="83"/>
        <v>0</v>
      </c>
      <c r="H438" s="221">
        <f t="shared" si="89"/>
        <v>0</v>
      </c>
      <c r="I438" s="54"/>
      <c r="J438" s="124">
        <f t="shared" si="87"/>
        <v>0</v>
      </c>
    </row>
    <row r="439" spans="1:10" ht="15.75" outlineLevel="2">
      <c r="A439" s="52" t="s">
        <v>1266</v>
      </c>
      <c r="B439" s="53" t="s">
        <v>76</v>
      </c>
      <c r="C439" s="169" t="s">
        <v>99</v>
      </c>
      <c r="D439" s="111">
        <v>121.428</v>
      </c>
      <c r="E439" s="111"/>
      <c r="F439" s="111">
        <f t="shared" si="90"/>
        <v>0</v>
      </c>
      <c r="G439" s="111">
        <f t="shared" si="83"/>
        <v>0</v>
      </c>
      <c r="H439" s="221">
        <f t="shared" si="89"/>
        <v>0</v>
      </c>
      <c r="I439" s="54"/>
      <c r="J439" s="124">
        <f t="shared" si="87"/>
        <v>0</v>
      </c>
    </row>
    <row r="440" spans="1:10" ht="15.75" outlineLevel="2">
      <c r="A440" s="52" t="s">
        <v>1267</v>
      </c>
      <c r="B440" s="53" t="s">
        <v>108</v>
      </c>
      <c r="C440" s="169" t="s">
        <v>334</v>
      </c>
      <c r="D440" s="113">
        <v>2.0238</v>
      </c>
      <c r="E440" s="111"/>
      <c r="F440" s="113">
        <f t="shared" si="90"/>
        <v>0</v>
      </c>
      <c r="G440" s="113">
        <f t="shared" si="83"/>
        <v>0</v>
      </c>
      <c r="H440" s="224">
        <f t="shared" si="89"/>
        <v>0</v>
      </c>
      <c r="I440" s="54"/>
      <c r="J440" s="124">
        <f t="shared" si="87"/>
        <v>0</v>
      </c>
    </row>
    <row r="441" spans="1:10" ht="15.75" outlineLevel="2">
      <c r="A441" s="52" t="s">
        <v>1259</v>
      </c>
      <c r="B441" s="53" t="s">
        <v>36</v>
      </c>
      <c r="C441" s="169" t="s">
        <v>334</v>
      </c>
      <c r="D441" s="111">
        <v>2.0238</v>
      </c>
      <c r="E441" s="111"/>
      <c r="F441" s="111">
        <f t="shared" si="90"/>
        <v>0</v>
      </c>
      <c r="G441" s="111">
        <f t="shared" si="83"/>
        <v>0</v>
      </c>
      <c r="H441" s="221">
        <f t="shared" si="89"/>
        <v>0</v>
      </c>
      <c r="I441" s="54"/>
      <c r="J441" s="124">
        <f t="shared" si="87"/>
        <v>0</v>
      </c>
    </row>
    <row r="442" spans="1:10" ht="15.75" outlineLevel="2">
      <c r="A442" s="52" t="s">
        <v>1268</v>
      </c>
      <c r="B442" s="53" t="s">
        <v>196</v>
      </c>
      <c r="C442" s="169" t="s">
        <v>3</v>
      </c>
      <c r="D442" s="111">
        <v>14.64</v>
      </c>
      <c r="E442" s="111"/>
      <c r="F442" s="111">
        <f t="shared" si="90"/>
        <v>0</v>
      </c>
      <c r="G442" s="111">
        <f t="shared" si="83"/>
        <v>0</v>
      </c>
      <c r="H442" s="221">
        <f t="shared" si="89"/>
        <v>0</v>
      </c>
      <c r="I442" s="54"/>
      <c r="J442" s="124">
        <f t="shared" si="87"/>
        <v>0</v>
      </c>
    </row>
    <row r="443" spans="1:10" ht="15.75" outlineLevel="2">
      <c r="A443" s="52" t="s">
        <v>1269</v>
      </c>
      <c r="B443" s="53" t="s">
        <v>106</v>
      </c>
      <c r="C443" s="169" t="s">
        <v>3</v>
      </c>
      <c r="D443" s="111">
        <v>26.240000000000002</v>
      </c>
      <c r="E443" s="111"/>
      <c r="F443" s="111">
        <f t="shared" si="90"/>
        <v>0</v>
      </c>
      <c r="G443" s="111">
        <f t="shared" si="83"/>
        <v>0</v>
      </c>
      <c r="H443" s="221">
        <f t="shared" si="89"/>
        <v>0</v>
      </c>
      <c r="I443" s="54"/>
      <c r="J443" s="124">
        <f t="shared" si="87"/>
        <v>0</v>
      </c>
    </row>
    <row r="444" spans="1:10" ht="18.75" customHeight="1" outlineLevel="2">
      <c r="A444" s="52" t="s">
        <v>1270</v>
      </c>
      <c r="B444" s="53" t="s">
        <v>107</v>
      </c>
      <c r="C444" s="169" t="s">
        <v>3</v>
      </c>
      <c r="D444" s="113">
        <v>26.240000000000002</v>
      </c>
      <c r="E444" s="111"/>
      <c r="F444" s="113">
        <f t="shared" si="90"/>
        <v>0</v>
      </c>
      <c r="G444" s="113">
        <f t="shared" si="83"/>
        <v>0</v>
      </c>
      <c r="H444" s="224">
        <f t="shared" si="89"/>
        <v>0</v>
      </c>
      <c r="I444" s="54"/>
      <c r="J444" s="124">
        <f t="shared" si="87"/>
        <v>0</v>
      </c>
    </row>
    <row r="445" spans="1:10" ht="15.75" outlineLevel="2">
      <c r="A445" s="52"/>
      <c r="B445" s="55"/>
      <c r="C445" s="170">
        <v>0</v>
      </c>
      <c r="D445" s="111"/>
      <c r="E445" s="111"/>
      <c r="F445" s="111">
        <f t="shared" si="90"/>
        <v>0</v>
      </c>
      <c r="G445" s="111">
        <f aca="true" t="shared" si="91" ref="G445:G452">+E445+F445</f>
        <v>0</v>
      </c>
      <c r="H445" s="221">
        <f>D445*G445</f>
        <v>0</v>
      </c>
      <c r="I445" s="54"/>
      <c r="J445" s="124">
        <f t="shared" si="87"/>
        <v>0</v>
      </c>
    </row>
    <row r="446" spans="1:10" s="119" customFormat="1" ht="15.75" outlineLevel="1">
      <c r="A446" s="50" t="s">
        <v>1271</v>
      </c>
      <c r="B446" s="151" t="s">
        <v>776</v>
      </c>
      <c r="C446" s="172">
        <v>0</v>
      </c>
      <c r="D446" s="118"/>
      <c r="E446" s="118"/>
      <c r="F446" s="118">
        <f t="shared" si="90"/>
        <v>0</v>
      </c>
      <c r="G446" s="118">
        <f t="shared" si="91"/>
        <v>0</v>
      </c>
      <c r="H446" s="220">
        <f>SUBTOTAL(9,H447:H451)</f>
        <v>0</v>
      </c>
      <c r="I446" s="120"/>
      <c r="J446" s="124">
        <f t="shared" si="87"/>
        <v>0</v>
      </c>
    </row>
    <row r="447" spans="1:10" ht="15.75" outlineLevel="2">
      <c r="A447" s="52" t="s">
        <v>1272</v>
      </c>
      <c r="B447" s="53" t="s">
        <v>733</v>
      </c>
      <c r="C447" s="169" t="s">
        <v>334</v>
      </c>
      <c r="D447" s="113">
        <v>1100</v>
      </c>
      <c r="E447" s="111"/>
      <c r="F447" s="113">
        <f t="shared" si="90"/>
        <v>0</v>
      </c>
      <c r="G447" s="113">
        <f t="shared" si="91"/>
        <v>0</v>
      </c>
      <c r="H447" s="224">
        <f aca="true" t="shared" si="92" ref="H447:H452">D447*G447</f>
        <v>0</v>
      </c>
      <c r="I447" s="54"/>
      <c r="J447" s="124">
        <f t="shared" si="87"/>
        <v>0</v>
      </c>
    </row>
    <row r="448" spans="1:10" ht="31.5" outlineLevel="2">
      <c r="A448" s="52" t="s">
        <v>1273</v>
      </c>
      <c r="B448" s="53" t="s">
        <v>328</v>
      </c>
      <c r="C448" s="169" t="s">
        <v>3</v>
      </c>
      <c r="D448" s="113">
        <v>264</v>
      </c>
      <c r="E448" s="111"/>
      <c r="F448" s="113">
        <f t="shared" si="90"/>
        <v>0</v>
      </c>
      <c r="G448" s="113">
        <f>+E448+F448</f>
        <v>0</v>
      </c>
      <c r="H448" s="224">
        <f t="shared" si="92"/>
        <v>0</v>
      </c>
      <c r="I448" s="54"/>
      <c r="J448" s="124">
        <f t="shared" si="87"/>
        <v>0</v>
      </c>
    </row>
    <row r="449" spans="1:10" ht="15.75" outlineLevel="2">
      <c r="A449" s="52" t="s">
        <v>1274</v>
      </c>
      <c r="B449" s="53" t="s">
        <v>75</v>
      </c>
      <c r="C449" s="169" t="s">
        <v>334</v>
      </c>
      <c r="D449" s="113">
        <v>851.19</v>
      </c>
      <c r="E449" s="111"/>
      <c r="F449" s="113">
        <f t="shared" si="90"/>
        <v>0</v>
      </c>
      <c r="G449" s="113">
        <f t="shared" si="91"/>
        <v>0</v>
      </c>
      <c r="H449" s="224">
        <f t="shared" si="92"/>
        <v>0</v>
      </c>
      <c r="I449" s="54"/>
      <c r="J449" s="124">
        <f t="shared" si="87"/>
        <v>0</v>
      </c>
    </row>
    <row r="450" spans="1:10" ht="31.5" outlineLevel="2">
      <c r="A450" s="52" t="s">
        <v>1275</v>
      </c>
      <c r="B450" s="53" t="s">
        <v>736</v>
      </c>
      <c r="C450" s="169" t="s">
        <v>334</v>
      </c>
      <c r="D450" s="113">
        <v>248.81</v>
      </c>
      <c r="E450" s="111"/>
      <c r="F450" s="113">
        <f t="shared" si="90"/>
        <v>0</v>
      </c>
      <c r="G450" s="113">
        <f t="shared" si="91"/>
        <v>0</v>
      </c>
      <c r="H450" s="224">
        <f t="shared" si="92"/>
        <v>0</v>
      </c>
      <c r="I450" s="54"/>
      <c r="J450" s="124">
        <f t="shared" si="87"/>
        <v>0</v>
      </c>
    </row>
    <row r="451" spans="1:10" ht="15.75" outlineLevel="2">
      <c r="A451" s="52" t="s">
        <v>1276</v>
      </c>
      <c r="B451" s="53" t="s">
        <v>735</v>
      </c>
      <c r="C451" s="169" t="s">
        <v>334</v>
      </c>
      <c r="D451" s="113">
        <f>+D450</f>
        <v>248.81</v>
      </c>
      <c r="E451" s="111"/>
      <c r="F451" s="113">
        <f t="shared" si="90"/>
        <v>0</v>
      </c>
      <c r="G451" s="113">
        <f t="shared" si="91"/>
        <v>0</v>
      </c>
      <c r="H451" s="224">
        <f t="shared" si="92"/>
        <v>0</v>
      </c>
      <c r="I451" s="54"/>
      <c r="J451" s="124">
        <f t="shared" si="87"/>
        <v>0</v>
      </c>
    </row>
    <row r="452" spans="1:10" ht="31.5" outlineLevel="2">
      <c r="A452" s="52" t="s">
        <v>1372</v>
      </c>
      <c r="B452" s="53" t="s">
        <v>1373</v>
      </c>
      <c r="C452" s="169" t="s">
        <v>80</v>
      </c>
      <c r="D452" s="113">
        <v>1</v>
      </c>
      <c r="E452" s="111"/>
      <c r="F452" s="113">
        <f t="shared" si="90"/>
        <v>0</v>
      </c>
      <c r="G452" s="113">
        <f t="shared" si="91"/>
        <v>0</v>
      </c>
      <c r="H452" s="224">
        <f t="shared" si="92"/>
        <v>0</v>
      </c>
      <c r="I452" s="54"/>
      <c r="J452" s="124"/>
    </row>
    <row r="453" spans="1:10" ht="15.75" outlineLevel="1">
      <c r="A453" s="52"/>
      <c r="B453" s="55"/>
      <c r="C453" s="170"/>
      <c r="D453" s="111"/>
      <c r="E453" s="111"/>
      <c r="F453" s="111"/>
      <c r="G453" s="111"/>
      <c r="H453" s="221"/>
      <c r="I453" s="54"/>
      <c r="J453" s="124"/>
    </row>
    <row r="454" spans="1:10" ht="15.75">
      <c r="A454" s="59" t="s">
        <v>201</v>
      </c>
      <c r="B454" s="60" t="s">
        <v>384</v>
      </c>
      <c r="C454" s="171">
        <v>0</v>
      </c>
      <c r="D454" s="112"/>
      <c r="E454" s="112"/>
      <c r="F454" s="112">
        <f aca="true" t="shared" si="93" ref="F454:F485">+E454*$H$7</f>
        <v>0</v>
      </c>
      <c r="G454" s="112">
        <f t="shared" si="83"/>
        <v>0</v>
      </c>
      <c r="H454" s="223">
        <f>SUBTOTAL(9,H455:H490)</f>
        <v>0</v>
      </c>
      <c r="I454" s="54"/>
      <c r="J454" s="124">
        <f t="shared" si="87"/>
        <v>0</v>
      </c>
    </row>
    <row r="455" spans="1:10" s="119" customFormat="1" ht="15.75" outlineLevel="1">
      <c r="A455" s="50" t="s">
        <v>563</v>
      </c>
      <c r="B455" s="151" t="s">
        <v>321</v>
      </c>
      <c r="C455" s="168"/>
      <c r="D455" s="118"/>
      <c r="E455" s="118"/>
      <c r="F455" s="118">
        <f t="shared" si="93"/>
        <v>0</v>
      </c>
      <c r="G455" s="118">
        <f t="shared" si="83"/>
        <v>0</v>
      </c>
      <c r="H455" s="220">
        <f>SUBTOTAL(9,H456:H464)</f>
        <v>0</v>
      </c>
      <c r="I455" s="120"/>
      <c r="J455" s="124">
        <f t="shared" si="87"/>
        <v>0</v>
      </c>
    </row>
    <row r="456" spans="1:10" ht="15.75" outlineLevel="2">
      <c r="A456" s="52" t="s">
        <v>686</v>
      </c>
      <c r="B456" s="53" t="s">
        <v>1381</v>
      </c>
      <c r="C456" s="169" t="s">
        <v>80</v>
      </c>
      <c r="D456" s="111">
        <v>4</v>
      </c>
      <c r="E456" s="111"/>
      <c r="F456" s="113">
        <f t="shared" si="93"/>
        <v>0</v>
      </c>
      <c r="G456" s="113">
        <f t="shared" si="83"/>
        <v>0</v>
      </c>
      <c r="H456" s="224">
        <f aca="true" t="shared" si="94" ref="H456:H464">D456*G456</f>
        <v>0</v>
      </c>
      <c r="I456" s="54"/>
      <c r="J456" s="124">
        <f t="shared" si="87"/>
        <v>0</v>
      </c>
    </row>
    <row r="457" spans="1:10" ht="31.5" outlineLevel="2">
      <c r="A457" s="52"/>
      <c r="B457" s="53" t="s">
        <v>1382</v>
      </c>
      <c r="C457" s="169" t="s">
        <v>80</v>
      </c>
      <c r="D457" s="111">
        <v>30</v>
      </c>
      <c r="E457" s="111"/>
      <c r="F457" s="113"/>
      <c r="G457" s="113"/>
      <c r="H457" s="224"/>
      <c r="I457" s="54"/>
      <c r="J457" s="124"/>
    </row>
    <row r="458" spans="1:10" ht="15.75" outlineLevel="2">
      <c r="A458" s="52" t="s">
        <v>687</v>
      </c>
      <c r="B458" s="53" t="s">
        <v>410</v>
      </c>
      <c r="C458" s="169" t="s">
        <v>80</v>
      </c>
      <c r="D458" s="111">
        <v>6</v>
      </c>
      <c r="E458" s="111"/>
      <c r="F458" s="113">
        <f t="shared" si="93"/>
        <v>0</v>
      </c>
      <c r="G458" s="113">
        <f t="shared" si="83"/>
        <v>0</v>
      </c>
      <c r="H458" s="224">
        <f t="shared" si="94"/>
        <v>0</v>
      </c>
      <c r="I458" s="54"/>
      <c r="J458" s="124">
        <f t="shared" si="87"/>
        <v>0</v>
      </c>
    </row>
    <row r="459" spans="1:10" ht="15.75" outlineLevel="2">
      <c r="A459" s="52"/>
      <c r="B459" s="53" t="s">
        <v>1383</v>
      </c>
      <c r="C459" s="169"/>
      <c r="D459" s="111">
        <v>4</v>
      </c>
      <c r="E459" s="111"/>
      <c r="F459" s="113"/>
      <c r="G459" s="113"/>
      <c r="H459" s="224"/>
      <c r="I459" s="54"/>
      <c r="J459" s="124"/>
    </row>
    <row r="460" spans="1:10" ht="15.75" outlineLevel="2">
      <c r="A460" s="52" t="s">
        <v>688</v>
      </c>
      <c r="B460" s="53" t="s">
        <v>411</v>
      </c>
      <c r="C460" s="169" t="s">
        <v>80</v>
      </c>
      <c r="D460" s="111">
        <v>36</v>
      </c>
      <c r="E460" s="111"/>
      <c r="F460" s="113">
        <f t="shared" si="93"/>
        <v>0</v>
      </c>
      <c r="G460" s="113">
        <f t="shared" si="83"/>
        <v>0</v>
      </c>
      <c r="H460" s="224">
        <f t="shared" si="94"/>
        <v>0</v>
      </c>
      <c r="I460" s="54"/>
      <c r="J460" s="124">
        <f t="shared" si="87"/>
        <v>0</v>
      </c>
    </row>
    <row r="461" spans="1:10" ht="31.5" outlineLevel="2">
      <c r="A461" s="52" t="s">
        <v>689</v>
      </c>
      <c r="B461" s="53" t="s">
        <v>327</v>
      </c>
      <c r="C461" s="169" t="s">
        <v>80</v>
      </c>
      <c r="D461" s="111">
        <v>8</v>
      </c>
      <c r="E461" s="111"/>
      <c r="F461" s="113">
        <f t="shared" si="93"/>
        <v>0</v>
      </c>
      <c r="G461" s="113">
        <f t="shared" si="83"/>
        <v>0</v>
      </c>
      <c r="H461" s="224">
        <f t="shared" si="94"/>
        <v>0</v>
      </c>
      <c r="I461" s="54"/>
      <c r="J461" s="124">
        <f t="shared" si="87"/>
        <v>0</v>
      </c>
    </row>
    <row r="462" spans="1:10" ht="15.75" outlineLevel="2">
      <c r="A462" s="52" t="s">
        <v>690</v>
      </c>
      <c r="B462" s="53" t="s">
        <v>412</v>
      </c>
      <c r="C462" s="169" t="s">
        <v>80</v>
      </c>
      <c r="D462" s="111">
        <v>9</v>
      </c>
      <c r="E462" s="111"/>
      <c r="F462" s="113">
        <f t="shared" si="93"/>
        <v>0</v>
      </c>
      <c r="G462" s="113">
        <f t="shared" si="83"/>
        <v>0</v>
      </c>
      <c r="H462" s="224">
        <f t="shared" si="94"/>
        <v>0</v>
      </c>
      <c r="I462" s="54"/>
      <c r="J462" s="124">
        <f t="shared" si="87"/>
        <v>0</v>
      </c>
    </row>
    <row r="463" spans="1:10" ht="15.75" outlineLevel="2">
      <c r="A463" s="52" t="s">
        <v>691</v>
      </c>
      <c r="B463" s="53" t="s">
        <v>1141</v>
      </c>
      <c r="C463" s="169" t="s">
        <v>80</v>
      </c>
      <c r="D463" s="111">
        <v>10</v>
      </c>
      <c r="E463" s="111"/>
      <c r="F463" s="113">
        <f t="shared" si="93"/>
        <v>0</v>
      </c>
      <c r="G463" s="113">
        <f t="shared" si="83"/>
        <v>0</v>
      </c>
      <c r="H463" s="224">
        <f t="shared" si="94"/>
        <v>0</v>
      </c>
      <c r="I463" s="54"/>
      <c r="J463" s="124">
        <f>+D463*G463</f>
        <v>0</v>
      </c>
    </row>
    <row r="464" spans="1:10" ht="15.75" outlineLevel="2">
      <c r="A464" s="52" t="s">
        <v>692</v>
      </c>
      <c r="B464" s="53" t="s">
        <v>1140</v>
      </c>
      <c r="C464" s="169" t="s">
        <v>80</v>
      </c>
      <c r="D464" s="111">
        <v>24</v>
      </c>
      <c r="E464" s="111"/>
      <c r="F464" s="113">
        <f t="shared" si="93"/>
        <v>0</v>
      </c>
      <c r="G464" s="113">
        <f t="shared" si="83"/>
        <v>0</v>
      </c>
      <c r="H464" s="224">
        <f t="shared" si="94"/>
        <v>0</v>
      </c>
      <c r="I464" s="54"/>
      <c r="J464" s="124">
        <f>+D464*G464</f>
        <v>0</v>
      </c>
    </row>
    <row r="465" spans="1:10" s="119" customFormat="1" ht="15.75" outlineLevel="1">
      <c r="A465" s="50" t="s">
        <v>1277</v>
      </c>
      <c r="B465" s="151" t="s">
        <v>322</v>
      </c>
      <c r="C465" s="168"/>
      <c r="D465" s="118"/>
      <c r="E465" s="118"/>
      <c r="F465" s="118">
        <f t="shared" si="93"/>
        <v>0</v>
      </c>
      <c r="G465" s="118">
        <f t="shared" si="83"/>
        <v>0</v>
      </c>
      <c r="H465" s="220">
        <f>SUBTOTAL(9,H466:H490)</f>
        <v>0</v>
      </c>
      <c r="I465" s="120"/>
      <c r="J465" s="124">
        <f t="shared" si="87"/>
        <v>0</v>
      </c>
    </row>
    <row r="466" spans="1:10" ht="31.5" outlineLevel="2">
      <c r="A466" s="52" t="s">
        <v>1278</v>
      </c>
      <c r="B466" s="53" t="s">
        <v>413</v>
      </c>
      <c r="C466" s="169" t="s">
        <v>80</v>
      </c>
      <c r="D466" s="111">
        <v>10</v>
      </c>
      <c r="E466" s="111"/>
      <c r="F466" s="113">
        <f t="shared" si="93"/>
        <v>0</v>
      </c>
      <c r="G466" s="113">
        <f aca="true" t="shared" si="95" ref="G466:G474">+E466+F466</f>
        <v>0</v>
      </c>
      <c r="H466" s="224">
        <f aca="true" t="shared" si="96" ref="H466:H474">D466*G466</f>
        <v>0</v>
      </c>
      <c r="I466" s="54"/>
      <c r="J466" s="124">
        <f t="shared" si="87"/>
        <v>0</v>
      </c>
    </row>
    <row r="467" spans="1:10" ht="31.5" outlineLevel="2">
      <c r="A467" s="52" t="s">
        <v>1279</v>
      </c>
      <c r="B467" s="53" t="s">
        <v>414</v>
      </c>
      <c r="C467" s="169" t="s">
        <v>80</v>
      </c>
      <c r="D467" s="111">
        <v>36</v>
      </c>
      <c r="E467" s="111"/>
      <c r="F467" s="113">
        <f t="shared" si="93"/>
        <v>0</v>
      </c>
      <c r="G467" s="113">
        <f t="shared" si="95"/>
        <v>0</v>
      </c>
      <c r="H467" s="224">
        <f t="shared" si="96"/>
        <v>0</v>
      </c>
      <c r="I467" s="54"/>
      <c r="J467" s="124">
        <f t="shared" si="87"/>
        <v>0</v>
      </c>
    </row>
    <row r="468" spans="1:10" ht="15.75" outlineLevel="2">
      <c r="A468" s="52" t="s">
        <v>1280</v>
      </c>
      <c r="B468" s="53" t="s">
        <v>415</v>
      </c>
      <c r="C468" s="169" t="s">
        <v>80</v>
      </c>
      <c r="D468" s="111">
        <v>9</v>
      </c>
      <c r="E468" s="111"/>
      <c r="F468" s="113">
        <f t="shared" si="93"/>
        <v>0</v>
      </c>
      <c r="G468" s="113">
        <f t="shared" si="95"/>
        <v>0</v>
      </c>
      <c r="H468" s="224">
        <f t="shared" si="96"/>
        <v>0</v>
      </c>
      <c r="I468" s="54"/>
      <c r="J468" s="124">
        <f t="shared" si="87"/>
        <v>0</v>
      </c>
    </row>
    <row r="469" spans="1:10" ht="31.5" outlineLevel="2">
      <c r="A469" s="52" t="s">
        <v>1281</v>
      </c>
      <c r="B469" s="53" t="s">
        <v>325</v>
      </c>
      <c r="C469" s="169" t="s">
        <v>80</v>
      </c>
      <c r="D469" s="111">
        <v>46</v>
      </c>
      <c r="E469" s="111"/>
      <c r="F469" s="113">
        <f t="shared" si="93"/>
        <v>0</v>
      </c>
      <c r="G469" s="113">
        <f t="shared" si="95"/>
        <v>0</v>
      </c>
      <c r="H469" s="224">
        <f t="shared" si="96"/>
        <v>0</v>
      </c>
      <c r="I469" s="54"/>
      <c r="J469" s="124">
        <f t="shared" si="87"/>
        <v>0</v>
      </c>
    </row>
    <row r="470" spans="1:10" ht="15.75" outlineLevel="2">
      <c r="A470" s="52" t="s">
        <v>1282</v>
      </c>
      <c r="B470" s="53" t="s">
        <v>416</v>
      </c>
      <c r="C470" s="169" t="s">
        <v>80</v>
      </c>
      <c r="D470" s="111">
        <v>8</v>
      </c>
      <c r="E470" s="111"/>
      <c r="F470" s="113">
        <f t="shared" si="93"/>
        <v>0</v>
      </c>
      <c r="G470" s="113">
        <f t="shared" si="95"/>
        <v>0</v>
      </c>
      <c r="H470" s="224">
        <f t="shared" si="96"/>
        <v>0</v>
      </c>
      <c r="I470" s="54"/>
      <c r="J470" s="124">
        <f t="shared" si="87"/>
        <v>0</v>
      </c>
    </row>
    <row r="471" spans="1:10" ht="15.75" outlineLevel="2">
      <c r="A471" s="52" t="s">
        <v>1283</v>
      </c>
      <c r="B471" s="53" t="s">
        <v>417</v>
      </c>
      <c r="C471" s="169" t="s">
        <v>80</v>
      </c>
      <c r="D471" s="111">
        <v>9</v>
      </c>
      <c r="E471" s="111"/>
      <c r="F471" s="113">
        <f t="shared" si="93"/>
        <v>0</v>
      </c>
      <c r="G471" s="113">
        <f t="shared" si="95"/>
        <v>0</v>
      </c>
      <c r="H471" s="224">
        <f t="shared" si="96"/>
        <v>0</v>
      </c>
      <c r="I471" s="54"/>
      <c r="J471" s="124">
        <f t="shared" si="87"/>
        <v>0</v>
      </c>
    </row>
    <row r="472" spans="1:10" ht="15.75" outlineLevel="2">
      <c r="A472" s="52" t="s">
        <v>1284</v>
      </c>
      <c r="B472" s="53" t="s">
        <v>418</v>
      </c>
      <c r="C472" s="169" t="s">
        <v>80</v>
      </c>
      <c r="D472" s="111">
        <v>8</v>
      </c>
      <c r="E472" s="111"/>
      <c r="F472" s="113">
        <f t="shared" si="93"/>
        <v>0</v>
      </c>
      <c r="G472" s="113">
        <f t="shared" si="95"/>
        <v>0</v>
      </c>
      <c r="H472" s="224">
        <f t="shared" si="96"/>
        <v>0</v>
      </c>
      <c r="I472" s="54"/>
      <c r="J472" s="124">
        <f t="shared" si="87"/>
        <v>0</v>
      </c>
    </row>
    <row r="473" spans="1:10" ht="15.75" outlineLevel="2">
      <c r="A473" s="52" t="s">
        <v>1285</v>
      </c>
      <c r="B473" s="53" t="s">
        <v>419</v>
      </c>
      <c r="C473" s="169" t="s">
        <v>80</v>
      </c>
      <c r="D473" s="111">
        <v>46</v>
      </c>
      <c r="E473" s="111"/>
      <c r="F473" s="113">
        <f t="shared" si="93"/>
        <v>0</v>
      </c>
      <c r="G473" s="113">
        <f t="shared" si="95"/>
        <v>0</v>
      </c>
      <c r="H473" s="224">
        <f t="shared" si="96"/>
        <v>0</v>
      </c>
      <c r="I473" s="54"/>
      <c r="J473" s="124">
        <f t="shared" si="87"/>
        <v>0</v>
      </c>
    </row>
    <row r="474" spans="1:10" ht="15.75" outlineLevel="2">
      <c r="A474" s="52" t="s">
        <v>1286</v>
      </c>
      <c r="B474" s="53" t="s">
        <v>420</v>
      </c>
      <c r="C474" s="169" t="s">
        <v>80</v>
      </c>
      <c r="D474" s="111">
        <v>9</v>
      </c>
      <c r="E474" s="111"/>
      <c r="F474" s="113">
        <f t="shared" si="93"/>
        <v>0</v>
      </c>
      <c r="G474" s="113">
        <f t="shared" si="95"/>
        <v>0</v>
      </c>
      <c r="H474" s="224">
        <f t="shared" si="96"/>
        <v>0</v>
      </c>
      <c r="I474" s="54"/>
      <c r="J474" s="124">
        <f t="shared" si="87"/>
        <v>0</v>
      </c>
    </row>
    <row r="475" spans="1:10" ht="15.75" outlineLevel="2">
      <c r="A475" s="52" t="s">
        <v>1287</v>
      </c>
      <c r="B475" s="53" t="s">
        <v>421</v>
      </c>
      <c r="C475" s="169" t="s">
        <v>80</v>
      </c>
      <c r="D475" s="111">
        <v>2</v>
      </c>
      <c r="E475" s="111"/>
      <c r="F475" s="113">
        <f t="shared" si="93"/>
        <v>0</v>
      </c>
      <c r="G475" s="113">
        <f aca="true" t="shared" si="97" ref="G475:G481">+E475+F475</f>
        <v>0</v>
      </c>
      <c r="H475" s="224">
        <f aca="true" t="shared" si="98" ref="H475:H481">D475*G475</f>
        <v>0</v>
      </c>
      <c r="I475" s="54"/>
      <c r="J475" s="124">
        <f t="shared" si="87"/>
        <v>0</v>
      </c>
    </row>
    <row r="476" spans="1:10" ht="15.75" outlineLevel="2">
      <c r="A476" s="52" t="s">
        <v>1288</v>
      </c>
      <c r="B476" s="53" t="s">
        <v>422</v>
      </c>
      <c r="C476" s="169" t="s">
        <v>80</v>
      </c>
      <c r="D476" s="111">
        <v>10</v>
      </c>
      <c r="E476" s="111"/>
      <c r="F476" s="113">
        <f t="shared" si="93"/>
        <v>0</v>
      </c>
      <c r="G476" s="113">
        <f t="shared" si="97"/>
        <v>0</v>
      </c>
      <c r="H476" s="224">
        <f t="shared" si="98"/>
        <v>0</v>
      </c>
      <c r="I476" s="54"/>
      <c r="J476" s="124">
        <f t="shared" si="87"/>
        <v>0</v>
      </c>
    </row>
    <row r="477" spans="1:10" ht="15.75" outlineLevel="2">
      <c r="A477" s="52" t="s">
        <v>1289</v>
      </c>
      <c r="B477" s="53" t="s">
        <v>423</v>
      </c>
      <c r="C477" s="169" t="s">
        <v>80</v>
      </c>
      <c r="D477" s="111">
        <v>42</v>
      </c>
      <c r="E477" s="111"/>
      <c r="F477" s="113">
        <f t="shared" si="93"/>
        <v>0</v>
      </c>
      <c r="G477" s="113">
        <f t="shared" si="97"/>
        <v>0</v>
      </c>
      <c r="H477" s="224">
        <f t="shared" si="98"/>
        <v>0</v>
      </c>
      <c r="I477" s="54"/>
      <c r="J477" s="124">
        <f t="shared" si="87"/>
        <v>0</v>
      </c>
    </row>
    <row r="478" spans="1:10" ht="15.75" outlineLevel="2">
      <c r="A478" s="52" t="s">
        <v>1290</v>
      </c>
      <c r="B478" s="53" t="s">
        <v>424</v>
      </c>
      <c r="C478" s="169" t="s">
        <v>80</v>
      </c>
      <c r="D478" s="111">
        <f>19+8</f>
        <v>27</v>
      </c>
      <c r="E478" s="111"/>
      <c r="F478" s="113">
        <f t="shared" si="93"/>
        <v>0</v>
      </c>
      <c r="G478" s="113">
        <f t="shared" si="97"/>
        <v>0</v>
      </c>
      <c r="H478" s="224">
        <f t="shared" si="98"/>
        <v>0</v>
      </c>
      <c r="I478" s="54"/>
      <c r="J478" s="124">
        <f t="shared" si="87"/>
        <v>0</v>
      </c>
    </row>
    <row r="479" spans="1:10" ht="31.5" outlineLevel="2">
      <c r="A479" s="52" t="s">
        <v>1291</v>
      </c>
      <c r="B479" s="53" t="s">
        <v>425</v>
      </c>
      <c r="C479" s="169" t="s">
        <v>80</v>
      </c>
      <c r="D479" s="111">
        <v>30</v>
      </c>
      <c r="E479" s="111"/>
      <c r="F479" s="113">
        <f t="shared" si="93"/>
        <v>0</v>
      </c>
      <c r="G479" s="113">
        <f t="shared" si="97"/>
        <v>0</v>
      </c>
      <c r="H479" s="224">
        <f t="shared" si="98"/>
        <v>0</v>
      </c>
      <c r="I479" s="54"/>
      <c r="J479" s="124">
        <f t="shared" si="87"/>
        <v>0</v>
      </c>
    </row>
    <row r="480" spans="1:10" ht="15.75" outlineLevel="2">
      <c r="A480" s="52" t="s">
        <v>1292</v>
      </c>
      <c r="B480" s="53" t="s">
        <v>426</v>
      </c>
      <c r="C480" s="169" t="s">
        <v>80</v>
      </c>
      <c r="D480" s="111">
        <v>34</v>
      </c>
      <c r="E480" s="111"/>
      <c r="F480" s="113">
        <f t="shared" si="93"/>
        <v>0</v>
      </c>
      <c r="G480" s="113">
        <f t="shared" si="97"/>
        <v>0</v>
      </c>
      <c r="H480" s="224">
        <f t="shared" si="98"/>
        <v>0</v>
      </c>
      <c r="I480" s="54"/>
      <c r="J480" s="124">
        <f t="shared" si="87"/>
        <v>0</v>
      </c>
    </row>
    <row r="481" spans="1:10" ht="31.5" outlineLevel="2">
      <c r="A481" s="52" t="s">
        <v>1293</v>
      </c>
      <c r="B481" s="53" t="s">
        <v>326</v>
      </c>
      <c r="C481" s="169" t="s">
        <v>80</v>
      </c>
      <c r="D481" s="111">
        <v>30</v>
      </c>
      <c r="E481" s="111"/>
      <c r="F481" s="113">
        <f t="shared" si="93"/>
        <v>0</v>
      </c>
      <c r="G481" s="113">
        <f t="shared" si="97"/>
        <v>0</v>
      </c>
      <c r="H481" s="224">
        <f t="shared" si="98"/>
        <v>0</v>
      </c>
      <c r="I481" s="54"/>
      <c r="J481" s="124">
        <f t="shared" si="87"/>
        <v>0</v>
      </c>
    </row>
    <row r="482" spans="1:10" s="119" customFormat="1" ht="15.75" outlineLevel="1">
      <c r="A482" s="50" t="s">
        <v>1294</v>
      </c>
      <c r="B482" s="151" t="s">
        <v>315</v>
      </c>
      <c r="C482" s="168"/>
      <c r="D482" s="118"/>
      <c r="E482" s="118"/>
      <c r="F482" s="118">
        <f t="shared" si="93"/>
        <v>0</v>
      </c>
      <c r="G482" s="118">
        <f aca="true" t="shared" si="99" ref="G482:G492">+E482+F482</f>
        <v>0</v>
      </c>
      <c r="H482" s="220">
        <f>SUBTOTAL(9,H483:H490)</f>
        <v>0</v>
      </c>
      <c r="I482" s="120"/>
      <c r="J482" s="124">
        <f t="shared" si="87"/>
        <v>0</v>
      </c>
    </row>
    <row r="483" spans="1:10" ht="31.5" outlineLevel="2">
      <c r="A483" s="52" t="s">
        <v>1295</v>
      </c>
      <c r="B483" s="53" t="s">
        <v>1384</v>
      </c>
      <c r="C483" s="169" t="s">
        <v>80</v>
      </c>
      <c r="D483" s="111">
        <v>12</v>
      </c>
      <c r="E483" s="111"/>
      <c r="F483" s="113">
        <f t="shared" si="93"/>
        <v>0</v>
      </c>
      <c r="G483" s="113">
        <f t="shared" si="99"/>
        <v>0</v>
      </c>
      <c r="H483" s="224">
        <f>D483*G483</f>
        <v>0</v>
      </c>
      <c r="I483" s="54"/>
      <c r="J483" s="124">
        <f t="shared" si="87"/>
        <v>0</v>
      </c>
    </row>
    <row r="484" spans="1:10" ht="31.5" outlineLevel="2">
      <c r="A484" s="52" t="s">
        <v>1296</v>
      </c>
      <c r="B484" s="53" t="s">
        <v>1385</v>
      </c>
      <c r="C484" s="169" t="s">
        <v>80</v>
      </c>
      <c r="D484" s="111">
        <v>4</v>
      </c>
      <c r="E484" s="111"/>
      <c r="F484" s="113">
        <f t="shared" si="93"/>
        <v>0</v>
      </c>
      <c r="G484" s="113">
        <f t="shared" si="99"/>
        <v>0</v>
      </c>
      <c r="H484" s="224">
        <f>D484*G484</f>
        <v>0</v>
      </c>
      <c r="I484" s="54"/>
      <c r="J484" s="124">
        <f t="shared" si="87"/>
        <v>0</v>
      </c>
    </row>
    <row r="485" spans="1:10" ht="31.5" outlineLevel="2">
      <c r="A485" s="52" t="s">
        <v>1297</v>
      </c>
      <c r="B485" s="53" t="s">
        <v>427</v>
      </c>
      <c r="C485" s="169" t="s">
        <v>80</v>
      </c>
      <c r="D485" s="111">
        <v>6</v>
      </c>
      <c r="E485" s="111"/>
      <c r="F485" s="113">
        <f t="shared" si="93"/>
        <v>0</v>
      </c>
      <c r="G485" s="113">
        <f t="shared" si="99"/>
        <v>0</v>
      </c>
      <c r="H485" s="224">
        <f>D485*G485</f>
        <v>0</v>
      </c>
      <c r="I485" s="54"/>
      <c r="J485" s="124">
        <f t="shared" si="87"/>
        <v>0</v>
      </c>
    </row>
    <row r="486" spans="1:10" ht="15.75" outlineLevel="2">
      <c r="A486" s="52"/>
      <c r="B486" s="53"/>
      <c r="C486" s="169"/>
      <c r="D486" s="251"/>
      <c r="E486" s="111"/>
      <c r="F486" s="113"/>
      <c r="G486" s="113"/>
      <c r="H486" s="224"/>
      <c r="I486" s="54"/>
      <c r="J486" s="124"/>
    </row>
    <row r="487" spans="1:10" s="119" customFormat="1" ht="15.75" outlineLevel="1">
      <c r="A487" s="50" t="s">
        <v>1298</v>
      </c>
      <c r="B487" s="151" t="s">
        <v>718</v>
      </c>
      <c r="C487" s="168"/>
      <c r="D487" s="118"/>
      <c r="E487" s="118"/>
      <c r="F487" s="118">
        <f aca="true" t="shared" si="100" ref="F487:F508">+E487*$H$7</f>
        <v>0</v>
      </c>
      <c r="G487" s="118">
        <f>+E487+F487</f>
        <v>0</v>
      </c>
      <c r="H487" s="220">
        <f>SUBTOTAL(9,H488:H494)</f>
        <v>0</v>
      </c>
      <c r="I487" s="120"/>
      <c r="J487" s="124">
        <f aca="true" t="shared" si="101" ref="J487:J511">+D487*G487</f>
        <v>0</v>
      </c>
    </row>
    <row r="488" spans="1:10" ht="15.75" outlineLevel="2">
      <c r="A488" s="52" t="s">
        <v>1299</v>
      </c>
      <c r="B488" s="53" t="s">
        <v>721</v>
      </c>
      <c r="C488" s="169" t="s">
        <v>3</v>
      </c>
      <c r="D488" s="111">
        <v>12.2</v>
      </c>
      <c r="E488" s="111"/>
      <c r="F488" s="113">
        <f t="shared" si="100"/>
        <v>0</v>
      </c>
      <c r="G488" s="113">
        <f>+E488+F488</f>
        <v>0</v>
      </c>
      <c r="H488" s="224">
        <f>D488*G488</f>
        <v>0</v>
      </c>
      <c r="I488" s="54"/>
      <c r="J488" s="124">
        <f t="shared" si="101"/>
        <v>0</v>
      </c>
    </row>
    <row r="489" spans="1:10" ht="15.75" outlineLevel="2">
      <c r="A489" s="52" t="s">
        <v>1300</v>
      </c>
      <c r="B489" s="53" t="s">
        <v>722</v>
      </c>
      <c r="C489" s="169" t="s">
        <v>3</v>
      </c>
      <c r="D489" s="111">
        <v>24.02</v>
      </c>
      <c r="E489" s="111"/>
      <c r="F489" s="113">
        <f t="shared" si="100"/>
        <v>0</v>
      </c>
      <c r="G489" s="113">
        <f>+E489+F489</f>
        <v>0</v>
      </c>
      <c r="H489" s="224">
        <f>D489*G489</f>
        <v>0</v>
      </c>
      <c r="I489" s="54"/>
      <c r="J489" s="124">
        <f t="shared" si="101"/>
        <v>0</v>
      </c>
    </row>
    <row r="490" spans="1:10" ht="15.75" outlineLevel="1">
      <c r="A490" s="52"/>
      <c r="B490" s="58">
        <v>0</v>
      </c>
      <c r="C490" s="173">
        <v>0</v>
      </c>
      <c r="D490" s="113"/>
      <c r="E490" s="113"/>
      <c r="F490" s="113">
        <f t="shared" si="100"/>
        <v>0</v>
      </c>
      <c r="G490" s="113">
        <f t="shared" si="99"/>
        <v>0</v>
      </c>
      <c r="H490" s="224">
        <f>D490*G490</f>
        <v>0</v>
      </c>
      <c r="I490" s="54"/>
      <c r="J490" s="124">
        <f t="shared" si="101"/>
        <v>0</v>
      </c>
    </row>
    <row r="491" spans="1:10" ht="15.75">
      <c r="A491" s="59" t="s">
        <v>206</v>
      </c>
      <c r="B491" s="60" t="s">
        <v>288</v>
      </c>
      <c r="C491" s="171">
        <v>0</v>
      </c>
      <c r="D491" s="112"/>
      <c r="E491" s="112"/>
      <c r="F491" s="112">
        <f t="shared" si="100"/>
        <v>0</v>
      </c>
      <c r="G491" s="112">
        <f t="shared" si="99"/>
        <v>0</v>
      </c>
      <c r="H491" s="223">
        <f>SUBTOTAL(9,H492:H495)</f>
        <v>0</v>
      </c>
      <c r="I491" s="54"/>
      <c r="J491" s="124">
        <f t="shared" si="101"/>
        <v>0</v>
      </c>
    </row>
    <row r="492" spans="1:10" s="119" customFormat="1" ht="15.75" outlineLevel="1">
      <c r="A492" s="50" t="s">
        <v>564</v>
      </c>
      <c r="B492" s="151" t="s">
        <v>210</v>
      </c>
      <c r="C492" s="168"/>
      <c r="D492" s="118"/>
      <c r="E492" s="118"/>
      <c r="F492" s="118">
        <f t="shared" si="100"/>
        <v>0</v>
      </c>
      <c r="G492" s="118">
        <f t="shared" si="99"/>
        <v>0</v>
      </c>
      <c r="H492" s="220">
        <f>SUBTOTAL(9,H493:H495)</f>
        <v>0</v>
      </c>
      <c r="I492" s="120"/>
      <c r="J492" s="124">
        <f t="shared" si="101"/>
        <v>0</v>
      </c>
    </row>
    <row r="493" spans="1:10" ht="15.75" outlineLevel="2">
      <c r="A493" s="52" t="s">
        <v>1068</v>
      </c>
      <c r="B493" s="53" t="s">
        <v>106</v>
      </c>
      <c r="C493" s="169" t="s">
        <v>3</v>
      </c>
      <c r="D493" s="113">
        <f>+D494</f>
        <v>1760.12</v>
      </c>
      <c r="E493" s="111"/>
      <c r="F493" s="113">
        <f t="shared" si="100"/>
        <v>0</v>
      </c>
      <c r="G493" s="113">
        <f aca="true" t="shared" si="102" ref="G493:G511">+E493+F493</f>
        <v>0</v>
      </c>
      <c r="H493" s="224">
        <f>D493*G493</f>
        <v>0</v>
      </c>
      <c r="I493" s="54"/>
      <c r="J493" s="124">
        <f t="shared" si="101"/>
        <v>0</v>
      </c>
    </row>
    <row r="494" spans="1:10" ht="15.75" outlineLevel="2">
      <c r="A494" s="52" t="s">
        <v>565</v>
      </c>
      <c r="B494" s="53" t="s">
        <v>107</v>
      </c>
      <c r="C494" s="169" t="s">
        <v>3</v>
      </c>
      <c r="D494" s="113">
        <f>194+720.22+845.9</f>
        <v>1760.12</v>
      </c>
      <c r="E494" s="111"/>
      <c r="F494" s="113">
        <f t="shared" si="100"/>
        <v>0</v>
      </c>
      <c r="G494" s="113">
        <f t="shared" si="102"/>
        <v>0</v>
      </c>
      <c r="H494" s="224">
        <f>D494*G494</f>
        <v>0</v>
      </c>
      <c r="I494" s="54"/>
      <c r="J494" s="124">
        <f t="shared" si="101"/>
        <v>0</v>
      </c>
    </row>
    <row r="495" spans="1:10" ht="15.75" outlineLevel="1">
      <c r="A495" s="52"/>
      <c r="B495" s="58">
        <v>0</v>
      </c>
      <c r="C495" s="173">
        <v>0</v>
      </c>
      <c r="D495" s="113"/>
      <c r="E495" s="113"/>
      <c r="F495" s="113">
        <f t="shared" si="100"/>
        <v>0</v>
      </c>
      <c r="G495" s="113">
        <f t="shared" si="102"/>
        <v>0</v>
      </c>
      <c r="H495" s="224">
        <f>D495*G495</f>
        <v>0</v>
      </c>
      <c r="I495" s="54"/>
      <c r="J495" s="124">
        <f t="shared" si="101"/>
        <v>0</v>
      </c>
    </row>
    <row r="496" spans="1:10" ht="15.75">
      <c r="A496" s="59" t="s">
        <v>213</v>
      </c>
      <c r="B496" s="60" t="s">
        <v>287</v>
      </c>
      <c r="C496" s="171">
        <v>0</v>
      </c>
      <c r="D496" s="112"/>
      <c r="E496" s="112"/>
      <c r="F496" s="112">
        <f t="shared" si="100"/>
        <v>0</v>
      </c>
      <c r="G496" s="112">
        <f t="shared" si="102"/>
        <v>0</v>
      </c>
      <c r="H496" s="223">
        <f>SUBTOTAL(9,H497:H501)</f>
        <v>0</v>
      </c>
      <c r="I496" s="54"/>
      <c r="J496" s="124">
        <f t="shared" si="101"/>
        <v>0</v>
      </c>
    </row>
    <row r="497" spans="1:10" s="119" customFormat="1" ht="13.5" customHeight="1" outlineLevel="1">
      <c r="A497" s="50" t="s">
        <v>567</v>
      </c>
      <c r="B497" s="151" t="s">
        <v>210</v>
      </c>
      <c r="C497" s="168"/>
      <c r="D497" s="118"/>
      <c r="E497" s="118"/>
      <c r="F497" s="118">
        <f t="shared" si="100"/>
        <v>0</v>
      </c>
      <c r="G497" s="118">
        <f t="shared" si="102"/>
        <v>0</v>
      </c>
      <c r="H497" s="220">
        <f>SUBTOTAL(9,H498:H501)</f>
        <v>0</v>
      </c>
      <c r="I497" s="120"/>
      <c r="J497" s="124">
        <f t="shared" si="101"/>
        <v>0</v>
      </c>
    </row>
    <row r="498" spans="1:10" ht="15.75" outlineLevel="2">
      <c r="A498" s="52" t="s">
        <v>1301</v>
      </c>
      <c r="B498" s="53" t="s">
        <v>106</v>
      </c>
      <c r="C498" s="169" t="s">
        <v>3</v>
      </c>
      <c r="D498" s="113">
        <f>+D499</f>
        <v>1060.367</v>
      </c>
      <c r="E498" s="111"/>
      <c r="F498" s="113">
        <f t="shared" si="100"/>
        <v>0</v>
      </c>
      <c r="G498" s="113">
        <f t="shared" si="102"/>
        <v>0</v>
      </c>
      <c r="H498" s="224">
        <f>D498*G498</f>
        <v>0</v>
      </c>
      <c r="I498" s="54"/>
      <c r="J498" s="124">
        <f t="shared" si="101"/>
        <v>0</v>
      </c>
    </row>
    <row r="499" spans="1:10" ht="15.75" outlineLevel="2">
      <c r="A499" s="52" t="s">
        <v>568</v>
      </c>
      <c r="B499" s="53" t="s">
        <v>107</v>
      </c>
      <c r="C499" s="169" t="s">
        <v>3</v>
      </c>
      <c r="D499" s="113">
        <f>+(10035.96+378.98+188.73)*0.1</f>
        <v>1060.367</v>
      </c>
      <c r="E499" s="111"/>
      <c r="F499" s="113">
        <f t="shared" si="100"/>
        <v>0</v>
      </c>
      <c r="G499" s="113">
        <f t="shared" si="102"/>
        <v>0</v>
      </c>
      <c r="H499" s="224">
        <f>D499*G499</f>
        <v>0</v>
      </c>
      <c r="I499" s="54"/>
      <c r="J499" s="124">
        <f t="shared" si="101"/>
        <v>0</v>
      </c>
    </row>
    <row r="500" spans="1:10" ht="15.75" outlineLevel="2">
      <c r="A500" s="52" t="s">
        <v>568</v>
      </c>
      <c r="B500" s="53" t="s">
        <v>389</v>
      </c>
      <c r="C500" s="169" t="s">
        <v>3</v>
      </c>
      <c r="D500" s="113">
        <v>62.21</v>
      </c>
      <c r="E500" s="111"/>
      <c r="F500" s="113">
        <f t="shared" si="100"/>
        <v>0</v>
      </c>
      <c r="G500" s="113">
        <f t="shared" si="102"/>
        <v>0</v>
      </c>
      <c r="H500" s="224">
        <f>D500*G500</f>
        <v>0</v>
      </c>
      <c r="I500" s="54"/>
      <c r="J500" s="124">
        <f t="shared" si="101"/>
        <v>0</v>
      </c>
    </row>
    <row r="501" spans="1:10" ht="15.75" outlineLevel="1">
      <c r="A501" s="52"/>
      <c r="B501" s="65">
        <v>0</v>
      </c>
      <c r="C501" s="176">
        <v>0</v>
      </c>
      <c r="D501" s="111"/>
      <c r="E501" s="111"/>
      <c r="F501" s="111">
        <f t="shared" si="100"/>
        <v>0</v>
      </c>
      <c r="G501" s="111">
        <f t="shared" si="102"/>
        <v>0</v>
      </c>
      <c r="H501" s="221">
        <f>D501*G501</f>
        <v>0</v>
      </c>
      <c r="I501" s="54"/>
      <c r="J501" s="124">
        <f t="shared" si="101"/>
        <v>0</v>
      </c>
    </row>
    <row r="502" spans="1:10" ht="15.75">
      <c r="A502" s="59" t="s">
        <v>214</v>
      </c>
      <c r="B502" s="60" t="s">
        <v>24</v>
      </c>
      <c r="C502" s="171">
        <v>0</v>
      </c>
      <c r="D502" s="112"/>
      <c r="E502" s="112"/>
      <c r="F502" s="112">
        <f t="shared" si="100"/>
        <v>0</v>
      </c>
      <c r="G502" s="112">
        <f t="shared" si="102"/>
        <v>0</v>
      </c>
      <c r="H502" s="223">
        <f>SUBTOTAL(9,H503:H511)</f>
        <v>0</v>
      </c>
      <c r="I502" s="54"/>
      <c r="J502" s="124">
        <f t="shared" si="101"/>
        <v>0</v>
      </c>
    </row>
    <row r="503" spans="1:10" s="119" customFormat="1" ht="15.75" outlineLevel="1">
      <c r="A503" s="50" t="s">
        <v>570</v>
      </c>
      <c r="B503" s="151" t="s">
        <v>1133</v>
      </c>
      <c r="C503" s="168"/>
      <c r="D503" s="121"/>
      <c r="E503" s="121"/>
      <c r="F503" s="121">
        <f t="shared" si="100"/>
        <v>0</v>
      </c>
      <c r="G503" s="121">
        <f t="shared" si="102"/>
        <v>0</v>
      </c>
      <c r="H503" s="228">
        <f>SUBTOTAL(9,H504:H507)</f>
        <v>0</v>
      </c>
      <c r="I503" s="120"/>
      <c r="J503" s="124">
        <f t="shared" si="101"/>
        <v>0</v>
      </c>
    </row>
    <row r="504" spans="1:10" ht="15.75" outlineLevel="2">
      <c r="A504" s="52" t="s">
        <v>571</v>
      </c>
      <c r="B504" s="53" t="s">
        <v>91</v>
      </c>
      <c r="C504" s="169" t="s">
        <v>3</v>
      </c>
      <c r="D504" s="111">
        <v>8</v>
      </c>
      <c r="E504" s="111"/>
      <c r="F504" s="111">
        <f t="shared" si="100"/>
        <v>0</v>
      </c>
      <c r="G504" s="111">
        <f t="shared" si="102"/>
        <v>0</v>
      </c>
      <c r="H504" s="221">
        <f>D504*G504</f>
        <v>0</v>
      </c>
      <c r="I504" s="54"/>
      <c r="J504" s="124">
        <f t="shared" si="101"/>
        <v>0</v>
      </c>
    </row>
    <row r="505" spans="1:10" ht="15.75" outlineLevel="2">
      <c r="A505" s="52" t="s">
        <v>598</v>
      </c>
      <c r="B505" s="53" t="s">
        <v>1116</v>
      </c>
      <c r="C505" s="169" t="s">
        <v>3</v>
      </c>
      <c r="D505" s="111">
        <f>1232.98+146.78</f>
        <v>1379.76</v>
      </c>
      <c r="E505" s="111"/>
      <c r="F505" s="111">
        <f t="shared" si="100"/>
        <v>0</v>
      </c>
      <c r="G505" s="111">
        <f t="shared" si="102"/>
        <v>0</v>
      </c>
      <c r="H505" s="221">
        <f>D505*G505</f>
        <v>0</v>
      </c>
      <c r="I505" s="54"/>
      <c r="J505" s="124">
        <f>+D505*G505</f>
        <v>0</v>
      </c>
    </row>
    <row r="506" spans="1:10" ht="15.75" outlineLevel="2">
      <c r="A506" s="52" t="s">
        <v>871</v>
      </c>
      <c r="B506" s="53" t="s">
        <v>391</v>
      </c>
      <c r="C506" s="169" t="s">
        <v>334</v>
      </c>
      <c r="D506" s="147">
        <v>35</v>
      </c>
      <c r="E506" s="111"/>
      <c r="F506" s="111">
        <f t="shared" si="100"/>
        <v>0</v>
      </c>
      <c r="G506" s="111">
        <f t="shared" si="102"/>
        <v>0</v>
      </c>
      <c r="H506" s="221">
        <f>D506*G506</f>
        <v>0</v>
      </c>
      <c r="I506" s="54"/>
      <c r="J506" s="124">
        <f>+D506*G506</f>
        <v>0</v>
      </c>
    </row>
    <row r="507" spans="1:10" ht="15.75" outlineLevel="2">
      <c r="A507" s="52"/>
      <c r="B507" s="58">
        <v>0</v>
      </c>
      <c r="C507" s="173">
        <v>0</v>
      </c>
      <c r="D507" s="113"/>
      <c r="E507" s="113"/>
      <c r="F507" s="113">
        <f t="shared" si="100"/>
        <v>0</v>
      </c>
      <c r="G507" s="113">
        <f t="shared" si="102"/>
        <v>0</v>
      </c>
      <c r="H507" s="224">
        <v>0</v>
      </c>
      <c r="I507" s="54"/>
      <c r="J507" s="124">
        <f>+D507*G507</f>
        <v>0</v>
      </c>
    </row>
    <row r="508" spans="1:10" s="119" customFormat="1" ht="15.75" outlineLevel="1">
      <c r="A508" s="50" t="s">
        <v>874</v>
      </c>
      <c r="B508" s="151" t="s">
        <v>699</v>
      </c>
      <c r="C508" s="168"/>
      <c r="D508" s="121"/>
      <c r="E508" s="121"/>
      <c r="F508" s="121">
        <f t="shared" si="100"/>
        <v>0</v>
      </c>
      <c r="G508" s="121">
        <f t="shared" si="102"/>
        <v>0</v>
      </c>
      <c r="H508" s="228">
        <f>SUBTOTAL(9,H509:H510)</f>
        <v>0</v>
      </c>
      <c r="I508" s="120"/>
      <c r="J508" s="124">
        <f t="shared" si="101"/>
        <v>0</v>
      </c>
    </row>
    <row r="509" spans="1:10" ht="15.75" outlineLevel="2">
      <c r="A509" s="52" t="s">
        <v>875</v>
      </c>
      <c r="B509" s="53" t="s">
        <v>811</v>
      </c>
      <c r="C509" s="169" t="s">
        <v>3</v>
      </c>
      <c r="D509" s="111">
        <f>+D505</f>
        <v>1379.76</v>
      </c>
      <c r="E509" s="111"/>
      <c r="F509" s="111">
        <f aca="true" t="shared" si="103" ref="F509:F514">+E509*$H$7</f>
        <v>0</v>
      </c>
      <c r="G509" s="111">
        <f t="shared" si="102"/>
        <v>0</v>
      </c>
      <c r="H509" s="221">
        <f>D509*G509</f>
        <v>0</v>
      </c>
      <c r="I509" s="54"/>
      <c r="J509" s="124">
        <f>+D509*G509</f>
        <v>0</v>
      </c>
    </row>
    <row r="510" spans="1:10" ht="15.75" outlineLevel="2">
      <c r="A510" s="52" t="s">
        <v>876</v>
      </c>
      <c r="B510" s="53" t="s">
        <v>1115</v>
      </c>
      <c r="C510" s="169" t="s">
        <v>3</v>
      </c>
      <c r="D510" s="111">
        <v>11.32</v>
      </c>
      <c r="E510" s="147"/>
      <c r="F510" s="111">
        <f t="shared" si="103"/>
        <v>0</v>
      </c>
      <c r="G510" s="111">
        <f t="shared" si="102"/>
        <v>0</v>
      </c>
      <c r="H510" s="221">
        <f>D510*G510</f>
        <v>0</v>
      </c>
      <c r="I510" s="54"/>
      <c r="J510" s="124">
        <f>+D510*G510</f>
        <v>0</v>
      </c>
    </row>
    <row r="511" spans="1:10" ht="15.75" outlineLevel="1">
      <c r="A511" s="52"/>
      <c r="B511" s="58"/>
      <c r="C511" s="177">
        <v>0</v>
      </c>
      <c r="D511" s="111"/>
      <c r="E511" s="111"/>
      <c r="F511" s="111">
        <f t="shared" si="103"/>
        <v>0</v>
      </c>
      <c r="G511" s="111">
        <f t="shared" si="102"/>
        <v>0</v>
      </c>
      <c r="H511" s="221">
        <f>D511*G511</f>
        <v>0</v>
      </c>
      <c r="I511" s="54"/>
      <c r="J511" s="124">
        <f t="shared" si="101"/>
        <v>0</v>
      </c>
    </row>
    <row r="512" spans="1:10" ht="15.75">
      <c r="A512" s="59" t="s">
        <v>215</v>
      </c>
      <c r="B512" s="60" t="s">
        <v>18</v>
      </c>
      <c r="C512" s="171">
        <v>0</v>
      </c>
      <c r="D512" s="112"/>
      <c r="E512" s="112"/>
      <c r="F512" s="112">
        <f t="shared" si="103"/>
        <v>0</v>
      </c>
      <c r="G512" s="112">
        <f>+E512+F512</f>
        <v>0</v>
      </c>
      <c r="H512" s="223">
        <f>SUBTOTAL(9,H513:H524)</f>
        <v>0</v>
      </c>
      <c r="I512" s="54"/>
      <c r="J512" s="124">
        <f aca="true" t="shared" si="104" ref="J512:J549">+D512*G512</f>
        <v>0</v>
      </c>
    </row>
    <row r="513" spans="1:10" s="119" customFormat="1" ht="15.75" outlineLevel="1">
      <c r="A513" s="50" t="s">
        <v>430</v>
      </c>
      <c r="B513" s="151" t="s">
        <v>224</v>
      </c>
      <c r="C513" s="168"/>
      <c r="D513" s="118"/>
      <c r="E513" s="118"/>
      <c r="F513" s="118">
        <f t="shared" si="103"/>
        <v>0</v>
      </c>
      <c r="G513" s="118">
        <f>+E513+F513</f>
        <v>0</v>
      </c>
      <c r="H513" s="220">
        <f>SUBTOTAL(9,H514:H514)</f>
        <v>0</v>
      </c>
      <c r="I513" s="120"/>
      <c r="J513" s="124">
        <f t="shared" si="104"/>
        <v>0</v>
      </c>
    </row>
    <row r="514" spans="1:10" ht="15.75" outlineLevel="2">
      <c r="A514" s="52" t="s">
        <v>599</v>
      </c>
      <c r="B514" s="53" t="s">
        <v>226</v>
      </c>
      <c r="C514" s="169" t="s">
        <v>3</v>
      </c>
      <c r="D514" s="111">
        <f>720.22+672.44+215.35+845</f>
        <v>2453.01</v>
      </c>
      <c r="E514" s="111"/>
      <c r="F514" s="111">
        <f t="shared" si="103"/>
        <v>0</v>
      </c>
      <c r="G514" s="111">
        <f aca="true" t="shared" si="105" ref="G514:G524">+E514+F514</f>
        <v>0</v>
      </c>
      <c r="H514" s="221">
        <f>D514*G514</f>
        <v>0</v>
      </c>
      <c r="I514" s="54"/>
      <c r="J514" s="124">
        <f t="shared" si="104"/>
        <v>0</v>
      </c>
    </row>
    <row r="515" spans="1:10" ht="15.75" outlineLevel="2">
      <c r="A515" s="52"/>
      <c r="B515" s="53"/>
      <c r="C515" s="169"/>
      <c r="D515" s="111"/>
      <c r="E515" s="111"/>
      <c r="F515" s="111"/>
      <c r="G515" s="111"/>
      <c r="H515" s="221"/>
      <c r="I515" s="54"/>
      <c r="J515" s="124"/>
    </row>
    <row r="516" spans="1:10" s="119" customFormat="1" ht="15.75" outlineLevel="1">
      <c r="A516" s="50" t="s">
        <v>1302</v>
      </c>
      <c r="B516" s="151" t="s">
        <v>813</v>
      </c>
      <c r="C516" s="168"/>
      <c r="D516" s="123"/>
      <c r="E516" s="123"/>
      <c r="F516" s="123">
        <f aca="true" t="shared" si="106" ref="F516:F553">+E516*$H$7</f>
        <v>0</v>
      </c>
      <c r="G516" s="123">
        <f t="shared" si="105"/>
        <v>0</v>
      </c>
      <c r="H516" s="229">
        <f>SUBTOTAL(9,H518:H524)</f>
        <v>0</v>
      </c>
      <c r="I516" s="120"/>
      <c r="J516" s="124">
        <f t="shared" si="104"/>
        <v>0</v>
      </c>
    </row>
    <row r="517" spans="1:10" ht="15" customHeight="1" outlineLevel="2">
      <c r="A517" s="52" t="s">
        <v>1303</v>
      </c>
      <c r="B517" s="53" t="s">
        <v>230</v>
      </c>
      <c r="C517" s="169" t="s">
        <v>3</v>
      </c>
      <c r="D517" s="111">
        <v>154.4</v>
      </c>
      <c r="E517" s="111"/>
      <c r="F517" s="111">
        <f t="shared" si="106"/>
        <v>0</v>
      </c>
      <c r="G517" s="111">
        <f t="shared" si="105"/>
        <v>0</v>
      </c>
      <c r="H517" s="221">
        <f>D517*G517</f>
        <v>0</v>
      </c>
      <c r="I517" s="54"/>
      <c r="J517" s="124">
        <f t="shared" si="104"/>
        <v>0</v>
      </c>
    </row>
    <row r="518" spans="1:10" ht="15.75" outlineLevel="2">
      <c r="A518" s="52" t="s">
        <v>1304</v>
      </c>
      <c r="B518" s="53" t="s">
        <v>94</v>
      </c>
      <c r="C518" s="169" t="s">
        <v>3</v>
      </c>
      <c r="D518" s="111">
        <f>1449.06+2484.25+720.32+672.44+560.82</f>
        <v>5886.889999999999</v>
      </c>
      <c r="E518" s="111"/>
      <c r="F518" s="111">
        <f t="shared" si="106"/>
        <v>0</v>
      </c>
      <c r="G518" s="111">
        <f t="shared" si="105"/>
        <v>0</v>
      </c>
      <c r="H518" s="221">
        <f>D518*G518</f>
        <v>0</v>
      </c>
      <c r="I518" s="54"/>
      <c r="J518" s="124">
        <f t="shared" si="104"/>
        <v>0</v>
      </c>
    </row>
    <row r="519" spans="1:10" ht="15.75" outlineLevel="2">
      <c r="A519" s="52" t="s">
        <v>1305</v>
      </c>
      <c r="B519" s="53" t="s">
        <v>400</v>
      </c>
      <c r="C519" s="169" t="s">
        <v>3</v>
      </c>
      <c r="D519" s="111">
        <f>239.83+408.28+845.9+91.89</f>
        <v>1585.9</v>
      </c>
      <c r="E519" s="111"/>
      <c r="F519" s="111">
        <f t="shared" si="106"/>
        <v>0</v>
      </c>
      <c r="G519" s="111">
        <f>+E519+F519</f>
        <v>0</v>
      </c>
      <c r="H519" s="221">
        <f>D519*G519</f>
        <v>0</v>
      </c>
      <c r="I519" s="54"/>
      <c r="J519" s="124">
        <f t="shared" si="104"/>
        <v>0</v>
      </c>
    </row>
    <row r="520" spans="1:10" ht="15.75" outlineLevel="2">
      <c r="A520" s="52" t="s">
        <v>1306</v>
      </c>
      <c r="B520" s="53" t="s">
        <v>401</v>
      </c>
      <c r="C520" s="169" t="s">
        <v>3</v>
      </c>
      <c r="D520" s="111">
        <f>10035.96+364.69+64.92+105.92+364.69</f>
        <v>10936.18</v>
      </c>
      <c r="E520" s="111"/>
      <c r="F520" s="111">
        <f t="shared" si="106"/>
        <v>0</v>
      </c>
      <c r="G520" s="111">
        <f>+E520+F520</f>
        <v>0</v>
      </c>
      <c r="H520" s="221">
        <f>D520*G520</f>
        <v>0</v>
      </c>
      <c r="I520" s="54"/>
      <c r="J520" s="124">
        <f t="shared" si="104"/>
        <v>0</v>
      </c>
    </row>
    <row r="521" spans="1:10" s="119" customFormat="1" ht="15.75" outlineLevel="1">
      <c r="A521" s="50" t="s">
        <v>1307</v>
      </c>
      <c r="B521" s="151" t="s">
        <v>812</v>
      </c>
      <c r="C521" s="168"/>
      <c r="D521" s="123"/>
      <c r="E521" s="123"/>
      <c r="F521" s="123">
        <f t="shared" si="106"/>
        <v>0</v>
      </c>
      <c r="G521" s="123">
        <f>+E521+F521</f>
        <v>0</v>
      </c>
      <c r="H521" s="229">
        <f>SUBTOTAL(9,H522:H524)</f>
        <v>0</v>
      </c>
      <c r="I521" s="120"/>
      <c r="J521" s="124">
        <f>+D521*G521</f>
        <v>0</v>
      </c>
    </row>
    <row r="522" spans="1:10" ht="15" customHeight="1" outlineLevel="2">
      <c r="A522" s="52" t="s">
        <v>1308</v>
      </c>
      <c r="B522" s="53" t="s">
        <v>808</v>
      </c>
      <c r="C522" s="169" t="s">
        <v>3</v>
      </c>
      <c r="D522" s="111">
        <v>64.86</v>
      </c>
      <c r="E522" s="111"/>
      <c r="F522" s="111">
        <f t="shared" si="106"/>
        <v>0</v>
      </c>
      <c r="G522" s="111">
        <f>+E522+F522</f>
        <v>0</v>
      </c>
      <c r="H522" s="221">
        <f>D522*G522</f>
        <v>0</v>
      </c>
      <c r="I522" s="54"/>
      <c r="J522" s="124">
        <f>+D522*G522</f>
        <v>0</v>
      </c>
    </row>
    <row r="523" spans="1:10" ht="31.5" outlineLevel="2">
      <c r="A523" s="52" t="s">
        <v>1309</v>
      </c>
      <c r="B523" s="53" t="s">
        <v>809</v>
      </c>
      <c r="C523" s="169" t="s">
        <v>3</v>
      </c>
      <c r="D523" s="111">
        <f>149.16*2</f>
        <v>298.32</v>
      </c>
      <c r="E523" s="111"/>
      <c r="F523" s="111">
        <f t="shared" si="106"/>
        <v>0</v>
      </c>
      <c r="G523" s="111">
        <f>+E523+F523</f>
        <v>0</v>
      </c>
      <c r="H523" s="221">
        <f>D523*G523</f>
        <v>0</v>
      </c>
      <c r="I523" s="54"/>
      <c r="J523" s="124">
        <f>+D523*G523</f>
        <v>0</v>
      </c>
    </row>
    <row r="524" spans="1:10" ht="15.75" outlineLevel="1">
      <c r="A524" s="52"/>
      <c r="B524" s="53"/>
      <c r="C524" s="169"/>
      <c r="D524" s="111"/>
      <c r="E524" s="111"/>
      <c r="F524" s="111">
        <f t="shared" si="106"/>
        <v>0</v>
      </c>
      <c r="G524" s="111">
        <f t="shared" si="105"/>
        <v>0</v>
      </c>
      <c r="H524" s="221">
        <f>D524*G524</f>
        <v>0</v>
      </c>
      <c r="I524" s="54"/>
      <c r="J524" s="124">
        <f t="shared" si="104"/>
        <v>0</v>
      </c>
    </row>
    <row r="525" spans="1:10" ht="15.75">
      <c r="A525" s="59" t="s">
        <v>216</v>
      </c>
      <c r="B525" s="60" t="s">
        <v>314</v>
      </c>
      <c r="C525" s="171">
        <v>0</v>
      </c>
      <c r="D525" s="112"/>
      <c r="E525" s="112"/>
      <c r="F525" s="112">
        <f t="shared" si="106"/>
        <v>0</v>
      </c>
      <c r="G525" s="112">
        <f aca="true" t="shared" si="107" ref="G525:G534">+E525+F525</f>
        <v>0</v>
      </c>
      <c r="H525" s="223">
        <f>SUBTOTAL(9,H526:H535)</f>
        <v>0</v>
      </c>
      <c r="I525" s="54"/>
      <c r="J525" s="124">
        <f t="shared" si="104"/>
        <v>0</v>
      </c>
    </row>
    <row r="526" spans="1:10" s="119" customFormat="1" ht="15.75" outlineLevel="1">
      <c r="A526" s="50" t="s">
        <v>431</v>
      </c>
      <c r="B526" s="151" t="s">
        <v>791</v>
      </c>
      <c r="C526" s="168"/>
      <c r="D526" s="118"/>
      <c r="E526" s="118"/>
      <c r="F526" s="118">
        <f t="shared" si="106"/>
        <v>0</v>
      </c>
      <c r="G526" s="118">
        <f t="shared" si="107"/>
        <v>0</v>
      </c>
      <c r="H526" s="220">
        <f>SUBTOTAL(9,H527:H535)</f>
        <v>0</v>
      </c>
      <c r="I526" s="120"/>
      <c r="J526" s="124">
        <f t="shared" si="104"/>
        <v>0</v>
      </c>
    </row>
    <row r="527" spans="1:10" ht="31.5" outlineLevel="2">
      <c r="A527" s="52" t="s">
        <v>777</v>
      </c>
      <c r="B527" s="53" t="s">
        <v>392</v>
      </c>
      <c r="C527" s="169" t="s">
        <v>3</v>
      </c>
      <c r="D527" s="111">
        <f>(139.353518+7.5)*0.3</f>
        <v>44.0560554</v>
      </c>
      <c r="E527" s="111">
        <v>0</v>
      </c>
      <c r="F527" s="111">
        <f>+E527*$H$7</f>
        <v>0</v>
      </c>
      <c r="G527" s="111">
        <f t="shared" si="107"/>
        <v>0</v>
      </c>
      <c r="H527" s="221">
        <f>D527*G527</f>
        <v>0</v>
      </c>
      <c r="I527" s="54"/>
      <c r="J527" s="124">
        <f t="shared" si="104"/>
        <v>0</v>
      </c>
    </row>
    <row r="528" spans="1:10" ht="15.75" outlineLevel="2">
      <c r="A528" s="52" t="s">
        <v>778</v>
      </c>
      <c r="B528" s="53" t="s">
        <v>393</v>
      </c>
      <c r="C528" s="169" t="s">
        <v>88</v>
      </c>
      <c r="D528" s="111">
        <v>48</v>
      </c>
      <c r="E528" s="111"/>
      <c r="F528" s="111">
        <f t="shared" si="106"/>
        <v>0</v>
      </c>
      <c r="G528" s="111">
        <f t="shared" si="107"/>
        <v>0</v>
      </c>
      <c r="H528" s="221">
        <f aca="true" t="shared" si="108" ref="H528:H534">D528*G528</f>
        <v>0</v>
      </c>
      <c r="I528" s="54"/>
      <c r="J528" s="124">
        <f t="shared" si="104"/>
        <v>0</v>
      </c>
    </row>
    <row r="529" spans="1:10" ht="15.75" outlineLevel="2">
      <c r="A529" s="52" t="s">
        <v>1310</v>
      </c>
      <c r="B529" s="53" t="s">
        <v>394</v>
      </c>
      <c r="C529" s="169" t="s">
        <v>88</v>
      </c>
      <c r="D529" s="111">
        <v>152</v>
      </c>
      <c r="E529" s="111"/>
      <c r="F529" s="111">
        <f t="shared" si="106"/>
        <v>0</v>
      </c>
      <c r="G529" s="111">
        <f t="shared" si="107"/>
        <v>0</v>
      </c>
      <c r="H529" s="221">
        <f t="shared" si="108"/>
        <v>0</v>
      </c>
      <c r="I529" s="54"/>
      <c r="J529" s="124">
        <f t="shared" si="104"/>
        <v>0</v>
      </c>
    </row>
    <row r="530" spans="1:10" ht="31.5" outlineLevel="2">
      <c r="A530" s="52" t="s">
        <v>1311</v>
      </c>
      <c r="B530" s="53" t="s">
        <v>395</v>
      </c>
      <c r="C530" s="169" t="s">
        <v>80</v>
      </c>
      <c r="D530" s="111">
        <v>2</v>
      </c>
      <c r="E530" s="111"/>
      <c r="F530" s="111">
        <f t="shared" si="106"/>
        <v>0</v>
      </c>
      <c r="G530" s="111">
        <f t="shared" si="107"/>
        <v>0</v>
      </c>
      <c r="H530" s="221">
        <f t="shared" si="108"/>
        <v>0</v>
      </c>
      <c r="I530" s="54"/>
      <c r="J530" s="124">
        <f t="shared" si="104"/>
        <v>0</v>
      </c>
    </row>
    <row r="531" spans="1:10" ht="15.75" outlineLevel="2">
      <c r="A531" s="52" t="s">
        <v>1312</v>
      </c>
      <c r="B531" s="53" t="s">
        <v>396</v>
      </c>
      <c r="C531" s="169" t="s">
        <v>80</v>
      </c>
      <c r="D531" s="111">
        <v>10</v>
      </c>
      <c r="E531" s="111"/>
      <c r="F531" s="111">
        <f t="shared" si="106"/>
        <v>0</v>
      </c>
      <c r="G531" s="111">
        <f t="shared" si="107"/>
        <v>0</v>
      </c>
      <c r="H531" s="221">
        <f t="shared" si="108"/>
        <v>0</v>
      </c>
      <c r="I531" s="54"/>
      <c r="J531" s="124">
        <f t="shared" si="104"/>
        <v>0</v>
      </c>
    </row>
    <row r="532" spans="1:10" ht="15.75" outlineLevel="2">
      <c r="A532" s="52" t="s">
        <v>1313</v>
      </c>
      <c r="B532" s="53" t="s">
        <v>397</v>
      </c>
      <c r="C532" s="169" t="s">
        <v>80</v>
      </c>
      <c r="D532" s="111">
        <v>16</v>
      </c>
      <c r="E532" s="111"/>
      <c r="F532" s="111">
        <f t="shared" si="106"/>
        <v>0</v>
      </c>
      <c r="G532" s="111">
        <f t="shared" si="107"/>
        <v>0</v>
      </c>
      <c r="H532" s="221">
        <f t="shared" si="108"/>
        <v>0</v>
      </c>
      <c r="I532" s="54"/>
      <c r="J532" s="124">
        <f t="shared" si="104"/>
        <v>0</v>
      </c>
    </row>
    <row r="533" spans="1:10" ht="31.5" outlineLevel="2">
      <c r="A533" s="52" t="s">
        <v>1314</v>
      </c>
      <c r="B533" s="53" t="s">
        <v>398</v>
      </c>
      <c r="C533" s="169" t="s">
        <v>80</v>
      </c>
      <c r="D533" s="111">
        <v>22</v>
      </c>
      <c r="E533" s="111"/>
      <c r="F533" s="111">
        <f t="shared" si="106"/>
        <v>0</v>
      </c>
      <c r="G533" s="111">
        <f t="shared" si="107"/>
        <v>0</v>
      </c>
      <c r="H533" s="221">
        <f t="shared" si="108"/>
        <v>0</v>
      </c>
      <c r="I533" s="54"/>
      <c r="J533" s="124">
        <f t="shared" si="104"/>
        <v>0</v>
      </c>
    </row>
    <row r="534" spans="1:10" ht="15.75" outlineLevel="2">
      <c r="A534" s="52" t="s">
        <v>1315</v>
      </c>
      <c r="B534" s="53" t="s">
        <v>399</v>
      </c>
      <c r="C534" s="169" t="s">
        <v>80</v>
      </c>
      <c r="D534" s="111">
        <v>40</v>
      </c>
      <c r="E534" s="111"/>
      <c r="F534" s="111">
        <f t="shared" si="106"/>
        <v>0</v>
      </c>
      <c r="G534" s="111">
        <f t="shared" si="107"/>
        <v>0</v>
      </c>
      <c r="H534" s="221">
        <f t="shared" si="108"/>
        <v>0</v>
      </c>
      <c r="I534" s="54"/>
      <c r="J534" s="124">
        <f t="shared" si="104"/>
        <v>0</v>
      </c>
    </row>
    <row r="535" spans="1:10" ht="15.75" outlineLevel="1">
      <c r="A535" s="52"/>
      <c r="B535" s="55">
        <v>0</v>
      </c>
      <c r="C535" s="170">
        <v>0</v>
      </c>
      <c r="D535" s="111"/>
      <c r="E535" s="111"/>
      <c r="F535" s="111">
        <f t="shared" si="106"/>
        <v>0</v>
      </c>
      <c r="G535" s="111">
        <f aca="true" t="shared" si="109" ref="G535:G550">+E535+F535</f>
        <v>0</v>
      </c>
      <c r="H535" s="221">
        <v>0</v>
      </c>
      <c r="I535" s="54"/>
      <c r="J535" s="124">
        <f t="shared" si="104"/>
        <v>0</v>
      </c>
    </row>
    <row r="536" spans="1:10" ht="15.75">
      <c r="A536" s="59" t="s">
        <v>301</v>
      </c>
      <c r="B536" s="60" t="s">
        <v>1018</v>
      </c>
      <c r="C536" s="171">
        <v>0</v>
      </c>
      <c r="D536" s="112"/>
      <c r="E536" s="112"/>
      <c r="F536" s="112">
        <f t="shared" si="106"/>
        <v>0</v>
      </c>
      <c r="G536" s="112">
        <f t="shared" si="109"/>
        <v>0</v>
      </c>
      <c r="H536" s="223">
        <f>SUBTOTAL(9,H537:H539)</f>
        <v>0</v>
      </c>
      <c r="I536" s="54"/>
      <c r="J536" s="124">
        <f aca="true" t="shared" si="110" ref="J536:J547">+D536*G536</f>
        <v>0</v>
      </c>
    </row>
    <row r="537" spans="1:10" s="119" customFormat="1" ht="15.75" outlineLevel="1">
      <c r="A537" s="50" t="s">
        <v>779</v>
      </c>
      <c r="B537" s="117" t="s">
        <v>1019</v>
      </c>
      <c r="C537" s="172">
        <v>0</v>
      </c>
      <c r="D537" s="118"/>
      <c r="E537" s="118"/>
      <c r="F537" s="118">
        <f t="shared" si="106"/>
        <v>0</v>
      </c>
      <c r="G537" s="118">
        <f t="shared" si="109"/>
        <v>0</v>
      </c>
      <c r="H537" s="220">
        <f>SUBTOTAL(9,H538:H539)</f>
        <v>0</v>
      </c>
      <c r="I537" s="120"/>
      <c r="J537" s="124">
        <f t="shared" si="110"/>
        <v>0</v>
      </c>
    </row>
    <row r="538" spans="1:10" ht="31.5" outlineLevel="2">
      <c r="A538" s="52" t="s">
        <v>900</v>
      </c>
      <c r="B538" s="53" t="s">
        <v>1424</v>
      </c>
      <c r="C538" s="169" t="s">
        <v>80</v>
      </c>
      <c r="D538" s="115">
        <v>2</v>
      </c>
      <c r="E538" s="111"/>
      <c r="F538" s="115">
        <f t="shared" si="106"/>
        <v>0</v>
      </c>
      <c r="G538" s="115">
        <f t="shared" si="109"/>
        <v>0</v>
      </c>
      <c r="H538" s="230">
        <f>D538*G538</f>
        <v>0</v>
      </c>
      <c r="I538" s="54"/>
      <c r="J538" s="124">
        <f t="shared" si="110"/>
        <v>0</v>
      </c>
    </row>
    <row r="539" spans="1:10" ht="15.75" outlineLevel="1">
      <c r="A539" s="52"/>
      <c r="B539" s="55">
        <v>0</v>
      </c>
      <c r="C539" s="170">
        <v>0</v>
      </c>
      <c r="D539" s="111"/>
      <c r="E539" s="111"/>
      <c r="F539" s="111">
        <f t="shared" si="106"/>
        <v>0</v>
      </c>
      <c r="G539" s="111">
        <f t="shared" si="109"/>
        <v>0</v>
      </c>
      <c r="H539" s="221">
        <v>0</v>
      </c>
      <c r="I539" s="54"/>
      <c r="J539" s="124">
        <f t="shared" si="110"/>
        <v>0</v>
      </c>
    </row>
    <row r="540" spans="1:10" ht="15.75">
      <c r="A540" s="59" t="s">
        <v>302</v>
      </c>
      <c r="B540" s="60" t="s">
        <v>282</v>
      </c>
      <c r="C540" s="171">
        <v>0</v>
      </c>
      <c r="D540" s="112"/>
      <c r="E540" s="112"/>
      <c r="F540" s="112">
        <f t="shared" si="106"/>
        <v>0</v>
      </c>
      <c r="G540" s="112">
        <f t="shared" si="109"/>
        <v>0</v>
      </c>
      <c r="H540" s="223">
        <f>SUBTOTAL(9,H541:H547)</f>
        <v>0</v>
      </c>
      <c r="I540" s="54"/>
      <c r="J540" s="124">
        <f t="shared" si="110"/>
        <v>0</v>
      </c>
    </row>
    <row r="541" spans="1:10" s="119" customFormat="1" ht="15.75" outlineLevel="1">
      <c r="A541" s="50" t="s">
        <v>601</v>
      </c>
      <c r="B541" s="117" t="s">
        <v>281</v>
      </c>
      <c r="C541" s="172">
        <v>0</v>
      </c>
      <c r="D541" s="118"/>
      <c r="E541" s="118"/>
      <c r="F541" s="118">
        <f t="shared" si="106"/>
        <v>0</v>
      </c>
      <c r="G541" s="118">
        <f t="shared" si="109"/>
        <v>0</v>
      </c>
      <c r="H541" s="220">
        <f>SUBTOTAL(9,H542:H547)</f>
        <v>0</v>
      </c>
      <c r="I541" s="120"/>
      <c r="J541" s="124">
        <f t="shared" si="110"/>
        <v>0</v>
      </c>
    </row>
    <row r="542" spans="1:10" ht="15.75" outlineLevel="2">
      <c r="A542" s="52" t="s">
        <v>1316</v>
      </c>
      <c r="B542" s="53" t="s">
        <v>335</v>
      </c>
      <c r="C542" s="169" t="s">
        <v>38</v>
      </c>
      <c r="D542" s="111">
        <f>220*6</f>
        <v>1320</v>
      </c>
      <c r="E542" s="111"/>
      <c r="F542" s="115">
        <f t="shared" si="106"/>
        <v>0</v>
      </c>
      <c r="G542" s="115">
        <f t="shared" si="109"/>
        <v>0</v>
      </c>
      <c r="H542" s="230">
        <f>D542*G542</f>
        <v>0</v>
      </c>
      <c r="I542" s="54"/>
      <c r="J542" s="124">
        <f t="shared" si="110"/>
        <v>0</v>
      </c>
    </row>
    <row r="543" spans="1:10" ht="15.75" outlineLevel="2">
      <c r="A543" s="52" t="s">
        <v>1317</v>
      </c>
      <c r="B543" s="53" t="s">
        <v>104</v>
      </c>
      <c r="C543" s="169" t="s">
        <v>38</v>
      </c>
      <c r="D543" s="111">
        <f>220*6</f>
        <v>1320</v>
      </c>
      <c r="E543" s="111"/>
      <c r="F543" s="111">
        <f t="shared" si="106"/>
        <v>0</v>
      </c>
      <c r="G543" s="111">
        <f t="shared" si="109"/>
        <v>0</v>
      </c>
      <c r="H543" s="221">
        <f>D543*G543</f>
        <v>0</v>
      </c>
      <c r="I543" s="54"/>
      <c r="J543" s="124">
        <f t="shared" si="110"/>
        <v>0</v>
      </c>
    </row>
    <row r="544" spans="1:10" ht="15.75" outlineLevel="2">
      <c r="A544" s="52" t="s">
        <v>1317</v>
      </c>
      <c r="B544" s="53" t="s">
        <v>332</v>
      </c>
      <c r="C544" s="169" t="s">
        <v>38</v>
      </c>
      <c r="D544" s="111">
        <f>220*6</f>
        <v>1320</v>
      </c>
      <c r="E544" s="111"/>
      <c r="F544" s="111">
        <f t="shared" si="106"/>
        <v>0</v>
      </c>
      <c r="G544" s="111">
        <f>+E544+F544</f>
        <v>0</v>
      </c>
      <c r="H544" s="221">
        <f>D544*G544</f>
        <v>0</v>
      </c>
      <c r="I544" s="54"/>
      <c r="J544" s="124">
        <f>+D544*G544</f>
        <v>0</v>
      </c>
    </row>
    <row r="545" spans="1:10" ht="15.75" outlineLevel="2">
      <c r="A545" s="52" t="s">
        <v>1317</v>
      </c>
      <c r="B545" s="53" t="s">
        <v>331</v>
      </c>
      <c r="C545" s="169" t="s">
        <v>38</v>
      </c>
      <c r="D545" s="111">
        <f>220*6</f>
        <v>1320</v>
      </c>
      <c r="E545" s="111"/>
      <c r="F545" s="111">
        <f t="shared" si="106"/>
        <v>0</v>
      </c>
      <c r="G545" s="111">
        <f>+E545+F545</f>
        <v>0</v>
      </c>
      <c r="H545" s="221">
        <f>D545*G545</f>
        <v>0</v>
      </c>
      <c r="I545" s="54"/>
      <c r="J545" s="124">
        <f>+D545*G545</f>
        <v>0</v>
      </c>
    </row>
    <row r="546" spans="1:10" ht="15.75" outlineLevel="2">
      <c r="A546" s="52" t="s">
        <v>1318</v>
      </c>
      <c r="B546" s="53" t="s">
        <v>103</v>
      </c>
      <c r="C546" s="169" t="s">
        <v>38</v>
      </c>
      <c r="D546" s="111">
        <f>3*220</f>
        <v>660</v>
      </c>
      <c r="E546" s="111"/>
      <c r="F546" s="111">
        <f t="shared" si="106"/>
        <v>0</v>
      </c>
      <c r="G546" s="111">
        <f t="shared" si="109"/>
        <v>0</v>
      </c>
      <c r="H546" s="221">
        <f>D546*G546</f>
        <v>0</v>
      </c>
      <c r="I546" s="54"/>
      <c r="J546" s="124">
        <f t="shared" si="110"/>
        <v>0</v>
      </c>
    </row>
    <row r="547" spans="1:10" ht="15.75" outlineLevel="1">
      <c r="A547" s="52" t="s">
        <v>1332</v>
      </c>
      <c r="B547" s="55" t="s">
        <v>1333</v>
      </c>
      <c r="C547" s="170" t="s">
        <v>38</v>
      </c>
      <c r="D547" s="111">
        <v>1320</v>
      </c>
      <c r="E547" s="111"/>
      <c r="F547" s="111">
        <f t="shared" si="106"/>
        <v>0</v>
      </c>
      <c r="G547" s="111">
        <f t="shared" si="109"/>
        <v>0</v>
      </c>
      <c r="H547" s="221">
        <v>0</v>
      </c>
      <c r="I547" s="54"/>
      <c r="J547" s="124">
        <f t="shared" si="110"/>
        <v>0</v>
      </c>
    </row>
    <row r="548" spans="1:10" ht="15.75">
      <c r="A548" s="59" t="s">
        <v>306</v>
      </c>
      <c r="B548" s="60" t="s">
        <v>283</v>
      </c>
      <c r="C548" s="171">
        <v>0</v>
      </c>
      <c r="D548" s="112"/>
      <c r="E548" s="112"/>
      <c r="F548" s="112">
        <f t="shared" si="106"/>
        <v>0</v>
      </c>
      <c r="G548" s="112">
        <f t="shared" si="109"/>
        <v>0</v>
      </c>
      <c r="H548" s="223">
        <f>SUBTOTAL(9,H549:H554)</f>
        <v>0</v>
      </c>
      <c r="I548" s="54"/>
      <c r="J548" s="124">
        <f t="shared" si="104"/>
        <v>0</v>
      </c>
    </row>
    <row r="549" spans="1:10" s="119" customFormat="1" ht="15.75" outlineLevel="1">
      <c r="A549" s="50" t="s">
        <v>602</v>
      </c>
      <c r="B549" s="151" t="s">
        <v>324</v>
      </c>
      <c r="C549" s="168"/>
      <c r="D549" s="118"/>
      <c r="E549" s="118"/>
      <c r="F549" s="118">
        <f t="shared" si="106"/>
        <v>0</v>
      </c>
      <c r="G549" s="118">
        <f t="shared" si="109"/>
        <v>0</v>
      </c>
      <c r="H549" s="220">
        <f>SUBTOTAL(9,H550:H553)</f>
        <v>0</v>
      </c>
      <c r="I549" s="120"/>
      <c r="J549" s="124">
        <f t="shared" si="104"/>
        <v>0</v>
      </c>
    </row>
    <row r="550" spans="1:10" ht="15.75" outlineLevel="2">
      <c r="A550" s="52" t="s">
        <v>603</v>
      </c>
      <c r="B550" s="53" t="s">
        <v>25</v>
      </c>
      <c r="C550" s="169" t="s">
        <v>3</v>
      </c>
      <c r="D550" s="111">
        <v>6315</v>
      </c>
      <c r="E550" s="111"/>
      <c r="F550" s="111">
        <f t="shared" si="106"/>
        <v>0</v>
      </c>
      <c r="G550" s="111">
        <f t="shared" si="109"/>
        <v>0</v>
      </c>
      <c r="H550" s="221">
        <f>D550*G550</f>
        <v>0</v>
      </c>
      <c r="I550" s="54"/>
      <c r="J550" s="124">
        <f>+D550*G550</f>
        <v>0</v>
      </c>
    </row>
    <row r="551" spans="1:10" ht="15.75" outlineLevel="2">
      <c r="A551" s="52" t="s">
        <v>1319</v>
      </c>
      <c r="B551" s="53" t="s">
        <v>1144</v>
      </c>
      <c r="C551" s="169" t="s">
        <v>38</v>
      </c>
      <c r="D551" s="111">
        <f>1*220*6</f>
        <v>1320</v>
      </c>
      <c r="E551" s="204"/>
      <c r="F551" s="111">
        <f t="shared" si="106"/>
        <v>0</v>
      </c>
      <c r="G551" s="111">
        <f>+E551+F551</f>
        <v>0</v>
      </c>
      <c r="H551" s="221">
        <f>D551*G551</f>
        <v>0</v>
      </c>
      <c r="I551" s="54"/>
      <c r="J551" s="124">
        <f>+D551*G551</f>
        <v>0</v>
      </c>
    </row>
    <row r="552" spans="1:10" ht="15.75" outlineLevel="2">
      <c r="A552" s="52" t="s">
        <v>1320</v>
      </c>
      <c r="B552" s="53" t="s">
        <v>190</v>
      </c>
      <c r="C552" s="169" t="s">
        <v>102</v>
      </c>
      <c r="D552" s="113">
        <f>+D550*0.05</f>
        <v>315.75</v>
      </c>
      <c r="E552" s="111"/>
      <c r="F552" s="113">
        <f t="shared" si="106"/>
        <v>0</v>
      </c>
      <c r="G552" s="113">
        <f>+E552+F552</f>
        <v>0</v>
      </c>
      <c r="H552" s="224">
        <f>D552*G552</f>
        <v>0</v>
      </c>
      <c r="I552" s="54"/>
      <c r="J552" s="124">
        <f>+D552*G552</f>
        <v>0</v>
      </c>
    </row>
    <row r="553" spans="1:10" ht="15.75" outlineLevel="2">
      <c r="A553" s="52" t="s">
        <v>1321</v>
      </c>
      <c r="B553" s="53" t="s">
        <v>188</v>
      </c>
      <c r="C553" s="169" t="s">
        <v>100</v>
      </c>
      <c r="D553" s="113">
        <f>+D552*45</f>
        <v>14208.75</v>
      </c>
      <c r="E553" s="111"/>
      <c r="F553" s="113">
        <f t="shared" si="106"/>
        <v>0</v>
      </c>
      <c r="G553" s="113">
        <f>+E553+F553</f>
        <v>0</v>
      </c>
      <c r="H553" s="224">
        <f>D553*G553</f>
        <v>0</v>
      </c>
      <c r="I553" s="54"/>
      <c r="J553" s="124">
        <f>+D553*G553</f>
        <v>0</v>
      </c>
    </row>
    <row r="554" spans="1:10" ht="15.75" outlineLevel="1">
      <c r="A554" s="52"/>
      <c r="B554" s="55"/>
      <c r="C554" s="170"/>
      <c r="D554" s="111"/>
      <c r="E554" s="111"/>
      <c r="F554" s="111"/>
      <c r="G554" s="111"/>
      <c r="H554" s="221"/>
      <c r="I554" s="54"/>
      <c r="J554" s="124">
        <f>+D554*G554</f>
        <v>0</v>
      </c>
    </row>
    <row r="555" spans="1:10" ht="15.75">
      <c r="A555" s="59"/>
      <c r="B555" s="60" t="s">
        <v>9</v>
      </c>
      <c r="C555" s="171"/>
      <c r="D555" s="112"/>
      <c r="E555" s="112"/>
      <c r="F555" s="112"/>
      <c r="G555" s="112"/>
      <c r="H555" s="223">
        <f>SUBTOTAL(9,H12:H554)</f>
        <v>0</v>
      </c>
      <c r="I555" s="54"/>
      <c r="J555" s="124">
        <f>SUM(J14:J554)</f>
        <v>0</v>
      </c>
    </row>
    <row r="556" spans="1:9" ht="16.5" thickBot="1">
      <c r="A556" s="67"/>
      <c r="B556" s="68"/>
      <c r="C556" s="178"/>
      <c r="D556" s="69"/>
      <c r="E556" s="69"/>
      <c r="F556" s="69"/>
      <c r="G556" s="69"/>
      <c r="H556" s="80"/>
      <c r="I556" s="54"/>
    </row>
    <row r="557" spans="1:9" ht="15.75">
      <c r="A557" s="275"/>
      <c r="B557" s="276"/>
      <c r="D557" s="71"/>
      <c r="E557" s="197"/>
      <c r="F557" s="47"/>
      <c r="G557" s="47"/>
      <c r="I557" s="54"/>
    </row>
    <row r="558" spans="1:9" ht="15.75">
      <c r="A558" s="275" t="s">
        <v>1336</v>
      </c>
      <c r="B558" s="277"/>
      <c r="D558" s="71"/>
      <c r="E558" s="197"/>
      <c r="F558" s="47"/>
      <c r="G558" s="47"/>
      <c r="I558" s="54"/>
    </row>
    <row r="559" spans="1:9" ht="31.5" customHeight="1">
      <c r="A559" s="278" t="s">
        <v>1338</v>
      </c>
      <c r="B559" s="279"/>
      <c r="D559" s="71"/>
      <c r="E559" s="197"/>
      <c r="F559" s="47"/>
      <c r="G559" s="47"/>
      <c r="I559" s="54"/>
    </row>
    <row r="560" spans="1:9" ht="31.5" customHeight="1">
      <c r="A560" s="278" t="s">
        <v>1337</v>
      </c>
      <c r="B560" s="279"/>
      <c r="D560" s="71"/>
      <c r="E560" s="197"/>
      <c r="F560" s="47"/>
      <c r="G560" s="47"/>
      <c r="I560" s="54"/>
    </row>
    <row r="561" spans="1:9" ht="15.75">
      <c r="A561" s="280"/>
      <c r="B561" s="277"/>
      <c r="D561" s="71"/>
      <c r="E561" s="197"/>
      <c r="F561" s="47"/>
      <c r="G561" s="47"/>
      <c r="I561" s="54"/>
    </row>
    <row r="562" spans="1:9" ht="15.75">
      <c r="A562" s="280"/>
      <c r="B562" s="277"/>
      <c r="D562" s="71"/>
      <c r="E562" s="197"/>
      <c r="F562" s="47"/>
      <c r="G562" s="47"/>
      <c r="I562" s="54"/>
    </row>
    <row r="563" spans="8:9" ht="15.75">
      <c r="H563" s="75"/>
      <c r="I563" s="54"/>
    </row>
    <row r="564" spans="8:9" ht="15.75">
      <c r="H564" s="76"/>
      <c r="I564" s="54"/>
    </row>
    <row r="565" ht="15.75">
      <c r="I565" s="54"/>
    </row>
    <row r="566" ht="15.75">
      <c r="I566" s="54"/>
    </row>
    <row r="567" ht="15.75">
      <c r="I567" s="54"/>
    </row>
    <row r="568" ht="15.75">
      <c r="I568" s="54"/>
    </row>
    <row r="569" ht="15.75">
      <c r="I569" s="54"/>
    </row>
    <row r="570" ht="15.75">
      <c r="I570" s="54"/>
    </row>
    <row r="571" ht="15.75">
      <c r="I571" s="54"/>
    </row>
    <row r="572" ht="15.75">
      <c r="I572" s="54"/>
    </row>
    <row r="573" ht="15.75">
      <c r="I573" s="54"/>
    </row>
    <row r="574" spans="1:9" ht="15.75">
      <c r="A574" s="77"/>
      <c r="C574" s="78"/>
      <c r="F574" s="38"/>
      <c r="G574" s="38"/>
      <c r="H574" s="38"/>
      <c r="I574" s="54"/>
    </row>
    <row r="575" ht="15.75">
      <c r="I575" s="54"/>
    </row>
    <row r="576" ht="15.75">
      <c r="I576" s="54"/>
    </row>
    <row r="577" ht="15.75">
      <c r="I577" s="54"/>
    </row>
    <row r="578" ht="15.75">
      <c r="I578" s="54"/>
    </row>
    <row r="579" ht="15.75">
      <c r="I579" s="54"/>
    </row>
    <row r="580" ht="15.75">
      <c r="I580" s="54"/>
    </row>
    <row r="581" ht="15.75">
      <c r="I581" s="54"/>
    </row>
    <row r="582" ht="15.75">
      <c r="I582" s="54"/>
    </row>
    <row r="583" ht="15.75">
      <c r="I583" s="54"/>
    </row>
    <row r="584" ht="15.75">
      <c r="I584" s="54"/>
    </row>
    <row r="585" ht="15.75">
      <c r="I585" s="54"/>
    </row>
    <row r="586" ht="15.75">
      <c r="I586" s="54"/>
    </row>
    <row r="587" ht="15.75">
      <c r="I587" s="54"/>
    </row>
    <row r="588" ht="15.75">
      <c r="I588" s="54"/>
    </row>
    <row r="589" ht="15.75">
      <c r="I589" s="54"/>
    </row>
    <row r="590" ht="15.75">
      <c r="I590" s="54"/>
    </row>
    <row r="591" ht="15.75">
      <c r="I591" s="54"/>
    </row>
    <row r="592" ht="15.75">
      <c r="I592" s="54"/>
    </row>
    <row r="593" ht="15.75">
      <c r="I593" s="54"/>
    </row>
    <row r="594" ht="15.75">
      <c r="I594" s="54"/>
    </row>
    <row r="595" ht="15.75">
      <c r="I595" s="54"/>
    </row>
    <row r="596" ht="15.75">
      <c r="I596" s="54"/>
    </row>
    <row r="597" ht="15.75">
      <c r="I597" s="54"/>
    </row>
    <row r="598" ht="15.75">
      <c r="I598" s="54"/>
    </row>
    <row r="599" ht="15.75">
      <c r="I599" s="54"/>
    </row>
  </sheetData>
  <sheetProtection/>
  <autoFilter ref="A10:H553"/>
  <mergeCells count="7">
    <mergeCell ref="A1:B1"/>
    <mergeCell ref="A557:B557"/>
    <mergeCell ref="A558:B558"/>
    <mergeCell ref="A559:B559"/>
    <mergeCell ref="A562:B562"/>
    <mergeCell ref="A560:B560"/>
    <mergeCell ref="A561:B561"/>
  </mergeCells>
  <conditionalFormatting sqref="A22 A398:A399 A87:A91 A31:A32 A376:A377 A297:A372 A413:A422">
    <cfRule type="expression" priority="2027" dxfId="0" stopIfTrue="1">
      <formula>E22&lt;6</formula>
    </cfRule>
  </conditionalFormatting>
  <conditionalFormatting sqref="A18">
    <cfRule type="expression" priority="2026" dxfId="0" stopIfTrue="1">
      <formula>E18&lt;6</formula>
    </cfRule>
  </conditionalFormatting>
  <conditionalFormatting sqref="A73">
    <cfRule type="expression" priority="2011" dxfId="0" stopIfTrue="1">
      <formula>E73&lt;6</formula>
    </cfRule>
  </conditionalFormatting>
  <conditionalFormatting sqref="A28">
    <cfRule type="expression" priority="2028" dxfId="0" stopIfTrue="1">
      <formula>E28&lt;6</formula>
    </cfRule>
  </conditionalFormatting>
  <conditionalFormatting sqref="A46:A52">
    <cfRule type="expression" priority="2016" dxfId="0" stopIfTrue="1">
      <formula>E46&lt;6</formula>
    </cfRule>
  </conditionalFormatting>
  <conditionalFormatting sqref="A13">
    <cfRule type="expression" priority="2005" dxfId="0" stopIfTrue="1">
      <formula>E13&lt;6</formula>
    </cfRule>
  </conditionalFormatting>
  <conditionalFormatting sqref="A53:A54">
    <cfRule type="expression" priority="2017" dxfId="0" stopIfTrue="1">
      <formula>E53&lt;6</formula>
    </cfRule>
  </conditionalFormatting>
  <conditionalFormatting sqref="A35">
    <cfRule type="expression" priority="2025" dxfId="0" stopIfTrue="1">
      <formula>E35&lt;6</formula>
    </cfRule>
  </conditionalFormatting>
  <conditionalFormatting sqref="A45">
    <cfRule type="expression" priority="2014" dxfId="0" stopIfTrue="1">
      <formula>E45&lt;6</formula>
    </cfRule>
  </conditionalFormatting>
  <conditionalFormatting sqref="A53">
    <cfRule type="expression" priority="2013" dxfId="0" stopIfTrue="1">
      <formula>E53&lt;6</formula>
    </cfRule>
  </conditionalFormatting>
  <conditionalFormatting sqref="A65">
    <cfRule type="expression" priority="2012" dxfId="0" stopIfTrue="1">
      <formula>E65&lt;6</formula>
    </cfRule>
  </conditionalFormatting>
  <conditionalFormatting sqref="A69">
    <cfRule type="expression" priority="2009" dxfId="0" stopIfTrue="1">
      <formula>E69&lt;6</formula>
    </cfRule>
  </conditionalFormatting>
  <conditionalFormatting sqref="A195">
    <cfRule type="expression" priority="1950" dxfId="0" stopIfTrue="1">
      <formula>E195&lt;6</formula>
    </cfRule>
  </conditionalFormatting>
  <conditionalFormatting sqref="A176">
    <cfRule type="expression" priority="1948" dxfId="0" stopIfTrue="1">
      <formula>E176&lt;6</formula>
    </cfRule>
  </conditionalFormatting>
  <conditionalFormatting sqref="A160">
    <cfRule type="expression" priority="1955" dxfId="0" stopIfTrue="1">
      <formula>E160&lt;6</formula>
    </cfRule>
  </conditionalFormatting>
  <conditionalFormatting sqref="A239:A240">
    <cfRule type="expression" priority="1937" dxfId="0" stopIfTrue="1">
      <formula>E239&lt;6</formula>
    </cfRule>
  </conditionalFormatting>
  <conditionalFormatting sqref="A401">
    <cfRule type="expression" priority="1898" dxfId="0" stopIfTrue="1">
      <formula>E401&lt;6</formula>
    </cfRule>
  </conditionalFormatting>
  <conditionalFormatting sqref="A86">
    <cfRule type="expression" priority="2008" dxfId="0" stopIfTrue="1">
      <formula>E86&lt;6</formula>
    </cfRule>
  </conditionalFormatting>
  <conditionalFormatting sqref="A245">
    <cfRule type="expression" priority="1936" dxfId="0" stopIfTrue="1">
      <formula>E245&lt;6</formula>
    </cfRule>
  </conditionalFormatting>
  <conditionalFormatting sqref="A431">
    <cfRule type="expression" priority="1889" dxfId="0" stopIfTrue="1">
      <formula>E431&lt;6</formula>
    </cfRule>
  </conditionalFormatting>
  <conditionalFormatting sqref="A492">
    <cfRule type="expression" priority="1886" dxfId="0" stopIfTrue="1">
      <formula>E492&lt;6</formula>
    </cfRule>
  </conditionalFormatting>
  <conditionalFormatting sqref="A40">
    <cfRule type="expression" priority="2007" dxfId="0" stopIfTrue="1">
      <formula>E40&lt;6</formula>
    </cfRule>
  </conditionalFormatting>
  <conditionalFormatting sqref="A228:A231">
    <cfRule type="expression" priority="1940" dxfId="0" stopIfTrue="1">
      <formula>E228&lt;6</formula>
    </cfRule>
  </conditionalFormatting>
  <conditionalFormatting sqref="A177">
    <cfRule type="expression" priority="1953" dxfId="0" stopIfTrue="1">
      <formula>E177&lt;6</formula>
    </cfRule>
  </conditionalFormatting>
  <conditionalFormatting sqref="A516">
    <cfRule type="expression" priority="1863" dxfId="0" stopIfTrue="1">
      <formula>E516&lt;6</formula>
    </cfRule>
  </conditionalFormatting>
  <conditionalFormatting sqref="A541">
    <cfRule type="expression" priority="1857" dxfId="0" stopIfTrue="1">
      <formula>E541&lt;6</formula>
    </cfRule>
  </conditionalFormatting>
  <conditionalFormatting sqref="A397">
    <cfRule type="expression" priority="1903" dxfId="0" stopIfTrue="1">
      <formula>E397&lt;6</formula>
    </cfRule>
  </conditionalFormatting>
  <conditionalFormatting sqref="A402:A410">
    <cfRule type="expression" priority="1900" dxfId="0" stopIfTrue="1">
      <formula>E402&lt;6</formula>
    </cfRule>
  </conditionalFormatting>
  <conditionalFormatting sqref="A424">
    <cfRule type="expression" priority="1892" dxfId="0" stopIfTrue="1">
      <formula>E424&lt;6</formula>
    </cfRule>
  </conditionalFormatting>
  <conditionalFormatting sqref="A237">
    <cfRule type="expression" priority="1939" dxfId="0" stopIfTrue="1">
      <formula>E237&lt;6</formula>
    </cfRule>
  </conditionalFormatting>
  <conditionalFormatting sqref="A232">
    <cfRule type="expression" priority="1938" dxfId="0" stopIfTrue="1">
      <formula>E232&lt;6</formula>
    </cfRule>
  </conditionalFormatting>
  <conditionalFormatting sqref="A159">
    <cfRule type="expression" priority="1946" dxfId="0" stopIfTrue="1">
      <formula>E159&lt;6</formula>
    </cfRule>
  </conditionalFormatting>
  <conditionalFormatting sqref="A513">
    <cfRule type="expression" priority="1866" dxfId="0" stopIfTrue="1">
      <formula>E513&lt;6</formula>
    </cfRule>
  </conditionalFormatting>
  <conditionalFormatting sqref="A549">
    <cfRule type="expression" priority="1853" dxfId="0" stopIfTrue="1">
      <formula>E549&lt;6</formula>
    </cfRule>
  </conditionalFormatting>
  <conditionalFormatting sqref="A526">
    <cfRule type="expression" priority="1516" dxfId="0" stopIfTrue="1">
      <formula>E526&lt;6</formula>
    </cfRule>
  </conditionalFormatting>
  <conditionalFormatting sqref="B541">
    <cfRule type="expression" priority="1644" dxfId="0" stopIfTrue="1">
      <formula>H541&lt;6</formula>
    </cfRule>
  </conditionalFormatting>
  <conditionalFormatting sqref="B35">
    <cfRule type="expression" priority="1557" dxfId="0" stopIfTrue="1">
      <formula>H35&lt;6</formula>
    </cfRule>
  </conditionalFormatting>
  <conditionalFormatting sqref="B176">
    <cfRule type="expression" priority="1668" dxfId="0" stopIfTrue="1">
      <formula>H176&lt;6</formula>
    </cfRule>
  </conditionalFormatting>
  <conditionalFormatting sqref="B195">
    <cfRule type="expression" priority="1670" dxfId="0" stopIfTrue="1">
      <formula>H195&lt;6</formula>
    </cfRule>
  </conditionalFormatting>
  <conditionalFormatting sqref="A281">
    <cfRule type="expression" priority="1528" dxfId="0" stopIfTrue="1">
      <formula>E281&lt;6</formula>
    </cfRule>
  </conditionalFormatting>
  <conditionalFormatting sqref="A497">
    <cfRule type="expression" priority="1509" dxfId="0" stopIfTrue="1">
      <formula>E497&lt;6</formula>
    </cfRule>
  </conditionalFormatting>
  <conditionalFormatting sqref="C159">
    <cfRule type="expression" priority="1397" dxfId="0" stopIfTrue="1">
      <formula>I159&lt;6</formula>
    </cfRule>
  </conditionalFormatting>
  <conditionalFormatting sqref="D237">
    <cfRule type="expression" priority="1346" dxfId="0" stopIfTrue="1">
      <formula>J237&lt;6</formula>
    </cfRule>
  </conditionalFormatting>
  <conditionalFormatting sqref="H73">
    <cfRule type="expression" priority="1002" dxfId="0" stopIfTrue="1">
      <formula>N73&lt;6</formula>
    </cfRule>
  </conditionalFormatting>
  <conditionalFormatting sqref="H86">
    <cfRule type="expression" priority="999" dxfId="0" stopIfTrue="1">
      <formula>N86&lt;6</formula>
    </cfRule>
  </conditionalFormatting>
  <conditionalFormatting sqref="H22">
    <cfRule type="expression" priority="998" dxfId="0" stopIfTrue="1">
      <formula>N22&lt;6</formula>
    </cfRule>
  </conditionalFormatting>
  <conditionalFormatting sqref="H18">
    <cfRule type="expression" priority="994" dxfId="0" stopIfTrue="1">
      <formula>N18&lt;6</formula>
    </cfRule>
  </conditionalFormatting>
  <conditionalFormatting sqref="H69">
    <cfRule type="expression" priority="1000" dxfId="0" stopIfTrue="1">
      <formula>N69&lt;6</formula>
    </cfRule>
  </conditionalFormatting>
  <conditionalFormatting sqref="H40">
    <cfRule type="expression" priority="996" dxfId="0" stopIfTrue="1">
      <formula>N40&lt;6</formula>
    </cfRule>
  </conditionalFormatting>
  <conditionalFormatting sqref="H13">
    <cfRule type="expression" priority="997" dxfId="0" stopIfTrue="1">
      <formula>N13&lt;6</formula>
    </cfRule>
  </conditionalFormatting>
  <conditionalFormatting sqref="H397">
    <cfRule type="expression" priority="1043" dxfId="0" stopIfTrue="1">
      <formula>N397&lt;6</formula>
    </cfRule>
  </conditionalFormatting>
  <conditionalFormatting sqref="H401">
    <cfRule type="expression" priority="1038" dxfId="0" stopIfTrue="1">
      <formula>N401&lt;6</formula>
    </cfRule>
  </conditionalFormatting>
  <conditionalFormatting sqref="H228">
    <cfRule type="expression" priority="1051" dxfId="0" stopIfTrue="1">
      <formula>N228&lt;6</formula>
    </cfRule>
  </conditionalFormatting>
  <conditionalFormatting sqref="H176">
    <cfRule type="expression" priority="1029" dxfId="0" stopIfTrue="1">
      <formula>N176&lt;6</formula>
    </cfRule>
  </conditionalFormatting>
  <conditionalFormatting sqref="H195">
    <cfRule type="expression" priority="1031" dxfId="0" stopIfTrue="1">
      <formula>N195&lt;6</formula>
    </cfRule>
  </conditionalFormatting>
  <conditionalFormatting sqref="H297">
    <cfRule type="expression" priority="1047" dxfId="0" stopIfTrue="1">
      <formula>N297&lt;6</formula>
    </cfRule>
  </conditionalFormatting>
  <conditionalFormatting sqref="H431">
    <cfRule type="expression" priority="1016" dxfId="0" stopIfTrue="1">
      <formula>N431&lt;6</formula>
    </cfRule>
  </conditionalFormatting>
  <conditionalFormatting sqref="H159">
    <cfRule type="expression" priority="1027" dxfId="0" stopIfTrue="1">
      <formula>N159&lt;6</formula>
    </cfRule>
  </conditionalFormatting>
  <conditionalFormatting sqref="H424">
    <cfRule type="expression" priority="1017" dxfId="0" stopIfTrue="1">
      <formula>N424&lt;6</formula>
    </cfRule>
  </conditionalFormatting>
  <conditionalFormatting sqref="H45">
    <cfRule type="expression" priority="1005" dxfId="0" stopIfTrue="1">
      <formula>N45&lt;6</formula>
    </cfRule>
  </conditionalFormatting>
  <conditionalFormatting sqref="H513">
    <cfRule type="expression" priority="1012" dxfId="0" stopIfTrue="1">
      <formula>N513&lt;6</formula>
    </cfRule>
  </conditionalFormatting>
  <conditionalFormatting sqref="H541">
    <cfRule type="expression" priority="1010" dxfId="0" stopIfTrue="1">
      <formula>N541&lt;6</formula>
    </cfRule>
  </conditionalFormatting>
  <conditionalFormatting sqref="H53">
    <cfRule type="expression" priority="1004" dxfId="0" stopIfTrue="1">
      <formula>N53&lt;6</formula>
    </cfRule>
  </conditionalFormatting>
  <conditionalFormatting sqref="H497">
    <cfRule type="expression" priority="987" dxfId="0" stopIfTrue="1">
      <formula>N497&lt;6</formula>
    </cfRule>
  </conditionalFormatting>
  <conditionalFormatting sqref="H28 H53 H31">
    <cfRule type="expression" priority="1008" dxfId="0" stopIfTrue="1">
      <formula>N28&lt;6</formula>
    </cfRule>
  </conditionalFormatting>
  <conditionalFormatting sqref="H492">
    <cfRule type="expression" priority="1015" dxfId="0" stopIfTrue="1">
      <formula>N492&lt;6</formula>
    </cfRule>
  </conditionalFormatting>
  <conditionalFormatting sqref="H549">
    <cfRule type="expression" priority="1009" dxfId="0" stopIfTrue="1">
      <formula>N549&lt;6</formula>
    </cfRule>
  </conditionalFormatting>
  <conditionalFormatting sqref="A503">
    <cfRule type="expression" priority="984" dxfId="0" stopIfTrue="1">
      <formula>E503&lt;6</formula>
    </cfRule>
  </conditionalFormatting>
  <conditionalFormatting sqref="H65">
    <cfRule type="expression" priority="1003" dxfId="0" stopIfTrue="1">
      <formula>N65&lt;6</formula>
    </cfRule>
  </conditionalFormatting>
  <conditionalFormatting sqref="G503">
    <cfRule type="expression" priority="978" dxfId="0" stopIfTrue="1">
      <formula>M503&lt;6</formula>
    </cfRule>
  </conditionalFormatting>
  <conditionalFormatting sqref="H35">
    <cfRule type="expression" priority="992" dxfId="0" stopIfTrue="1">
      <formula>N35&lt;6</formula>
    </cfRule>
  </conditionalFormatting>
  <conditionalFormatting sqref="H526">
    <cfRule type="expression" priority="988" dxfId="0" stopIfTrue="1">
      <formula>N526&lt;6</formula>
    </cfRule>
  </conditionalFormatting>
  <conditionalFormatting sqref="D431">
    <cfRule type="expression" priority="1312" dxfId="0" stopIfTrue="1">
      <formula>J431&lt;6</formula>
    </cfRule>
  </conditionalFormatting>
  <conditionalFormatting sqref="D176">
    <cfRule type="expression" priority="1325" dxfId="0" stopIfTrue="1">
      <formula>J176&lt;6</formula>
    </cfRule>
  </conditionalFormatting>
  <conditionalFormatting sqref="D228:D229">
    <cfRule type="expression" priority="1347" dxfId="0" stopIfTrue="1">
      <formula>J228&lt;6</formula>
    </cfRule>
  </conditionalFormatting>
  <conditionalFormatting sqref="C35">
    <cfRule type="expression" priority="1362" dxfId="0" stopIfTrue="1">
      <formula>I35&lt;6</formula>
    </cfRule>
  </conditionalFormatting>
  <conditionalFormatting sqref="D424">
    <cfRule type="expression" priority="1313" dxfId="0" stopIfTrue="1">
      <formula>J424&lt;6</formula>
    </cfRule>
  </conditionalFormatting>
  <conditionalFormatting sqref="D397">
    <cfRule type="expression" priority="1339" dxfId="0" stopIfTrue="1">
      <formula>J397&lt;6</formula>
    </cfRule>
  </conditionalFormatting>
  <conditionalFormatting sqref="C431">
    <cfRule type="expression" priority="1386" dxfId="0" stopIfTrue="1">
      <formula>I431&lt;6</formula>
    </cfRule>
  </conditionalFormatting>
  <conditionalFormatting sqref="D492">
    <cfRule type="expression" priority="1311" dxfId="0" stopIfTrue="1">
      <formula>J492&lt;6</formula>
    </cfRule>
  </conditionalFormatting>
  <conditionalFormatting sqref="D195">
    <cfRule type="expression" priority="1327" dxfId="0" stopIfTrue="1">
      <formula>J195&lt;6</formula>
    </cfRule>
  </conditionalFormatting>
  <conditionalFormatting sqref="C195">
    <cfRule type="expression" priority="1401" dxfId="0" stopIfTrue="1">
      <formula>I195&lt;6</formula>
    </cfRule>
  </conditionalFormatting>
  <conditionalFormatting sqref="D65">
    <cfRule type="expression" priority="1299" dxfId="0" stopIfTrue="1">
      <formula>J65&lt;6</formula>
    </cfRule>
  </conditionalFormatting>
  <conditionalFormatting sqref="D401">
    <cfRule type="expression" priority="1334" dxfId="0" stopIfTrue="1">
      <formula>J401&lt;6</formula>
    </cfRule>
  </conditionalFormatting>
  <conditionalFormatting sqref="C176">
    <cfRule type="expression" priority="1399" dxfId="0" stopIfTrue="1">
      <formula>I176&lt;6</formula>
    </cfRule>
  </conditionalFormatting>
  <conditionalFormatting sqref="C541">
    <cfRule type="expression" priority="1380" dxfId="0" stopIfTrue="1">
      <formula>I541&lt;6</formula>
    </cfRule>
  </conditionalFormatting>
  <conditionalFormatting sqref="D28 D53 D31">
    <cfRule type="expression" priority="1304" dxfId="0" stopIfTrue="1">
      <formula>J28&lt;6</formula>
    </cfRule>
  </conditionalFormatting>
  <conditionalFormatting sqref="D297">
    <cfRule type="expression" priority="1343" dxfId="0" stopIfTrue="1">
      <formula>J297&lt;6</formula>
    </cfRule>
  </conditionalFormatting>
  <conditionalFormatting sqref="D541">
    <cfRule type="expression" priority="1306" dxfId="0" stopIfTrue="1">
      <formula>J541&lt;6</formula>
    </cfRule>
  </conditionalFormatting>
  <conditionalFormatting sqref="D513">
    <cfRule type="expression" priority="1308" dxfId="0" stopIfTrue="1">
      <formula>J513&lt;6</formula>
    </cfRule>
  </conditionalFormatting>
  <conditionalFormatting sqref="D69">
    <cfRule type="expression" priority="1296" dxfId="0" stopIfTrue="1">
      <formula>J69&lt;6</formula>
    </cfRule>
  </conditionalFormatting>
  <conditionalFormatting sqref="D45">
    <cfRule type="expression" priority="1301" dxfId="0" stopIfTrue="1">
      <formula>J45&lt;6</formula>
    </cfRule>
  </conditionalFormatting>
  <conditionalFormatting sqref="D13">
    <cfRule type="expression" priority="1293" dxfId="0" stopIfTrue="1">
      <formula>J13&lt;6</formula>
    </cfRule>
  </conditionalFormatting>
  <conditionalFormatting sqref="D86">
    <cfRule type="expression" priority="1295" dxfId="0" stopIfTrue="1">
      <formula>J86&lt;6</formula>
    </cfRule>
  </conditionalFormatting>
  <conditionalFormatting sqref="D22">
    <cfRule type="expression" priority="1294" dxfId="0" stopIfTrue="1">
      <formula>J22&lt;6</formula>
    </cfRule>
  </conditionalFormatting>
  <conditionalFormatting sqref="D159">
    <cfRule type="expression" priority="1323" dxfId="0" stopIfTrue="1">
      <formula>J159&lt;6</formula>
    </cfRule>
  </conditionalFormatting>
  <conditionalFormatting sqref="D40">
    <cfRule type="expression" priority="1292" dxfId="0" stopIfTrue="1">
      <formula>J40&lt;6</formula>
    </cfRule>
  </conditionalFormatting>
  <conditionalFormatting sqref="D73">
    <cfRule type="expression" priority="1298" dxfId="0" stopIfTrue="1">
      <formula>J73&lt;6</formula>
    </cfRule>
  </conditionalFormatting>
  <conditionalFormatting sqref="D53">
    <cfRule type="expression" priority="1300" dxfId="0" stopIfTrue="1">
      <formula>J53&lt;6</formula>
    </cfRule>
  </conditionalFormatting>
  <conditionalFormatting sqref="E237">
    <cfRule type="expression" priority="1272" dxfId="0" stopIfTrue="1">
      <formula>K237&lt;6</formula>
    </cfRule>
  </conditionalFormatting>
  <conditionalFormatting sqref="D18">
    <cfRule type="expression" priority="1290" dxfId="0" stopIfTrue="1">
      <formula>J18&lt;6</formula>
    </cfRule>
  </conditionalFormatting>
  <conditionalFormatting sqref="D245">
    <cfRule type="expression" priority="1321" dxfId="0" stopIfTrue="1">
      <formula>J245&lt;6</formula>
    </cfRule>
  </conditionalFormatting>
  <conditionalFormatting sqref="D526">
    <cfRule type="expression" priority="1284" dxfId="0" stopIfTrue="1">
      <formula>J526&lt;6</formula>
    </cfRule>
  </conditionalFormatting>
  <conditionalFormatting sqref="E297">
    <cfRule type="expression" priority="1269" dxfId="0" stopIfTrue="1">
      <formula>K297&lt;6</formula>
    </cfRule>
  </conditionalFormatting>
  <conditionalFormatting sqref="E401">
    <cfRule type="expression" priority="1260" dxfId="0" stopIfTrue="1">
      <formula>K401&lt;6</formula>
    </cfRule>
  </conditionalFormatting>
  <conditionalFormatting sqref="D497">
    <cfRule type="expression" priority="1283" dxfId="0" stopIfTrue="1">
      <formula>J497&lt;6</formula>
    </cfRule>
  </conditionalFormatting>
  <conditionalFormatting sqref="E228">
    <cfRule type="expression" priority="1273" dxfId="0" stopIfTrue="1">
      <formula>K228&lt;6</formula>
    </cfRule>
  </conditionalFormatting>
  <conditionalFormatting sqref="D35">
    <cfRule type="expression" priority="1288" dxfId="0" stopIfTrue="1">
      <formula>J35&lt;6</formula>
    </cfRule>
  </conditionalFormatting>
  <conditionalFormatting sqref="D281">
    <cfRule type="expression" priority="1286" dxfId="0" stopIfTrue="1">
      <formula>J281&lt;6</formula>
    </cfRule>
  </conditionalFormatting>
  <conditionalFormatting sqref="E195">
    <cfRule type="expression" priority="1253" dxfId="0" stopIfTrue="1">
      <formula>K195&lt;6</formula>
    </cfRule>
  </conditionalFormatting>
  <conditionalFormatting sqref="E492">
    <cfRule type="expression" priority="1237" dxfId="0" stopIfTrue="1">
      <formula>K492&lt;6</formula>
    </cfRule>
  </conditionalFormatting>
  <conditionalFormatting sqref="E424">
    <cfRule type="expression" priority="1239" dxfId="0" stopIfTrue="1">
      <formula>K424&lt;6</formula>
    </cfRule>
  </conditionalFormatting>
  <conditionalFormatting sqref="D549">
    <cfRule type="expression" priority="1305" dxfId="0" stopIfTrue="1">
      <formula>J549&lt;6</formula>
    </cfRule>
  </conditionalFormatting>
  <conditionalFormatting sqref="E397">
    <cfRule type="expression" priority="1265" dxfId="0" stopIfTrue="1">
      <formula>K397&lt;6</formula>
    </cfRule>
  </conditionalFormatting>
  <conditionalFormatting sqref="E159">
    <cfRule type="expression" priority="1249" dxfId="0" stopIfTrue="1">
      <formula>K159&lt;6</formula>
    </cfRule>
  </conditionalFormatting>
  <conditionalFormatting sqref="E53">
    <cfRule type="expression" priority="1226" dxfId="0" stopIfTrue="1">
      <formula>K53&lt;6</formula>
    </cfRule>
  </conditionalFormatting>
  <conditionalFormatting sqref="E245">
    <cfRule type="expression" priority="1247" dxfId="0" stopIfTrue="1">
      <formula>K245&lt;6</formula>
    </cfRule>
  </conditionalFormatting>
  <conditionalFormatting sqref="E431">
    <cfRule type="expression" priority="1238" dxfId="0" stopIfTrue="1">
      <formula>K431&lt;6</formula>
    </cfRule>
  </conditionalFormatting>
  <conditionalFormatting sqref="E28 E53 E31">
    <cfRule type="expression" priority="1230" dxfId="0" stopIfTrue="1">
      <formula>K28&lt;6</formula>
    </cfRule>
  </conditionalFormatting>
  <conditionalFormatting sqref="E65">
    <cfRule type="expression" priority="1225" dxfId="0" stopIfTrue="1">
      <formula>K65&lt;6</formula>
    </cfRule>
  </conditionalFormatting>
  <conditionalFormatting sqref="E176">
    <cfRule type="expression" priority="1251" dxfId="0" stopIfTrue="1">
      <formula>K176&lt;6</formula>
    </cfRule>
  </conditionalFormatting>
  <conditionalFormatting sqref="E541">
    <cfRule type="expression" priority="1232" dxfId="0" stopIfTrue="1">
      <formula>K541&lt;6</formula>
    </cfRule>
  </conditionalFormatting>
  <conditionalFormatting sqref="E45">
    <cfRule type="expression" priority="1227" dxfId="0" stopIfTrue="1">
      <formula>K45&lt;6</formula>
    </cfRule>
  </conditionalFormatting>
  <conditionalFormatting sqref="E73">
    <cfRule type="expression" priority="1224" dxfId="0" stopIfTrue="1">
      <formula>K73&lt;6</formula>
    </cfRule>
  </conditionalFormatting>
  <conditionalFormatting sqref="E86">
    <cfRule type="expression" priority="1221" dxfId="0" stopIfTrue="1">
      <formula>K86&lt;6</formula>
    </cfRule>
  </conditionalFormatting>
  <conditionalFormatting sqref="E22">
    <cfRule type="expression" priority="1220" dxfId="0" stopIfTrue="1">
      <formula>K22&lt;6</formula>
    </cfRule>
  </conditionalFormatting>
  <conditionalFormatting sqref="E18">
    <cfRule type="expression" priority="1216" dxfId="0" stopIfTrue="1">
      <formula>K18&lt;6</formula>
    </cfRule>
  </conditionalFormatting>
  <conditionalFormatting sqref="E69">
    <cfRule type="expression" priority="1222" dxfId="0" stopIfTrue="1">
      <formula>K69&lt;6</formula>
    </cfRule>
  </conditionalFormatting>
  <conditionalFormatting sqref="E40">
    <cfRule type="expression" priority="1218" dxfId="0" stopIfTrue="1">
      <formula>K40&lt;6</formula>
    </cfRule>
  </conditionalFormatting>
  <conditionalFormatting sqref="E13">
    <cfRule type="expression" priority="1219" dxfId="0" stopIfTrue="1">
      <formula>K13&lt;6</formula>
    </cfRule>
  </conditionalFormatting>
  <conditionalFormatting sqref="E513">
    <cfRule type="expression" priority="1234" dxfId="0" stopIfTrue="1">
      <formula>K513&lt;6</formula>
    </cfRule>
  </conditionalFormatting>
  <conditionalFormatting sqref="F237">
    <cfRule type="expression" priority="1198" dxfId="0" stopIfTrue="1">
      <formula>L237&lt;6</formula>
    </cfRule>
  </conditionalFormatting>
  <conditionalFormatting sqref="E549">
    <cfRule type="expression" priority="1231" dxfId="0" stopIfTrue="1">
      <formula>K549&lt;6</formula>
    </cfRule>
  </conditionalFormatting>
  <conditionalFormatting sqref="E526">
    <cfRule type="expression" priority="1210" dxfId="0" stopIfTrue="1">
      <formula>K526&lt;6</formula>
    </cfRule>
  </conditionalFormatting>
  <conditionalFormatting sqref="E35">
    <cfRule type="expression" priority="1214" dxfId="0" stopIfTrue="1">
      <formula>K35&lt;6</formula>
    </cfRule>
  </conditionalFormatting>
  <conditionalFormatting sqref="E281">
    <cfRule type="expression" priority="1212" dxfId="0" stopIfTrue="1">
      <formula>K281&lt;6</formula>
    </cfRule>
  </conditionalFormatting>
  <conditionalFormatting sqref="E497">
    <cfRule type="expression" priority="1209" dxfId="0" stopIfTrue="1">
      <formula>K497&lt;6</formula>
    </cfRule>
  </conditionalFormatting>
  <conditionalFormatting sqref="F228">
    <cfRule type="expression" priority="1199" dxfId="0" stopIfTrue="1">
      <formula>L228&lt;6</formula>
    </cfRule>
  </conditionalFormatting>
  <conditionalFormatting sqref="F431">
    <cfRule type="expression" priority="1164" dxfId="0" stopIfTrue="1">
      <formula>L431&lt;6</formula>
    </cfRule>
  </conditionalFormatting>
  <conditionalFormatting sqref="F73">
    <cfRule type="expression" priority="1150" dxfId="0" stopIfTrue="1">
      <formula>L73&lt;6</formula>
    </cfRule>
  </conditionalFormatting>
  <conditionalFormatting sqref="F86">
    <cfRule type="expression" priority="1147" dxfId="0" stopIfTrue="1">
      <formula>L86&lt;6</formula>
    </cfRule>
  </conditionalFormatting>
  <conditionalFormatting sqref="F22">
    <cfRule type="expression" priority="1146" dxfId="0" stopIfTrue="1">
      <formula>L22&lt;6</formula>
    </cfRule>
  </conditionalFormatting>
  <conditionalFormatting sqref="F18">
    <cfRule type="expression" priority="1142" dxfId="0" stopIfTrue="1">
      <formula>L18&lt;6</formula>
    </cfRule>
  </conditionalFormatting>
  <conditionalFormatting sqref="F69">
    <cfRule type="expression" priority="1148" dxfId="0" stopIfTrue="1">
      <formula>L69&lt;6</formula>
    </cfRule>
  </conditionalFormatting>
  <conditionalFormatting sqref="F40">
    <cfRule type="expression" priority="1144" dxfId="0" stopIfTrue="1">
      <formula>L40&lt;6</formula>
    </cfRule>
  </conditionalFormatting>
  <conditionalFormatting sqref="F13">
    <cfRule type="expression" priority="1145" dxfId="0" stopIfTrue="1">
      <formula>L13&lt;6</formula>
    </cfRule>
  </conditionalFormatting>
  <conditionalFormatting sqref="F397">
    <cfRule type="expression" priority="1191" dxfId="0" stopIfTrue="1">
      <formula>L397&lt;6</formula>
    </cfRule>
  </conditionalFormatting>
  <conditionalFormatting sqref="F401">
    <cfRule type="expression" priority="1186" dxfId="0" stopIfTrue="1">
      <formula>L401&lt;6</formula>
    </cfRule>
  </conditionalFormatting>
  <conditionalFormatting sqref="F245">
    <cfRule type="expression" priority="1173" dxfId="0" stopIfTrue="1">
      <formula>L245&lt;6</formula>
    </cfRule>
  </conditionalFormatting>
  <conditionalFormatting sqref="F195">
    <cfRule type="expression" priority="1179" dxfId="0" stopIfTrue="1">
      <formula>L195&lt;6</formula>
    </cfRule>
  </conditionalFormatting>
  <conditionalFormatting sqref="F297">
    <cfRule type="expression" priority="1195" dxfId="0" stopIfTrue="1">
      <formula>L297&lt;6</formula>
    </cfRule>
  </conditionalFormatting>
  <conditionalFormatting sqref="F65">
    <cfRule type="expression" priority="1151" dxfId="0" stopIfTrue="1">
      <formula>L65&lt;6</formula>
    </cfRule>
  </conditionalFormatting>
  <conditionalFormatting sqref="F176">
    <cfRule type="expression" priority="1177" dxfId="0" stopIfTrue="1">
      <formula>L176&lt;6</formula>
    </cfRule>
  </conditionalFormatting>
  <conditionalFormatting sqref="F159">
    <cfRule type="expression" priority="1175" dxfId="0" stopIfTrue="1">
      <formula>L159&lt;6</formula>
    </cfRule>
  </conditionalFormatting>
  <conditionalFormatting sqref="F424">
    <cfRule type="expression" priority="1165" dxfId="0" stopIfTrue="1">
      <formula>L424&lt;6</formula>
    </cfRule>
  </conditionalFormatting>
  <conditionalFormatting sqref="F492">
    <cfRule type="expression" priority="1163" dxfId="0" stopIfTrue="1">
      <formula>L492&lt;6</formula>
    </cfRule>
  </conditionalFormatting>
  <conditionalFormatting sqref="F513">
    <cfRule type="expression" priority="1160" dxfId="0" stopIfTrue="1">
      <formula>L513&lt;6</formula>
    </cfRule>
  </conditionalFormatting>
  <conditionalFormatting sqref="F541">
    <cfRule type="expression" priority="1158" dxfId="0" stopIfTrue="1">
      <formula>L541&lt;6</formula>
    </cfRule>
  </conditionalFormatting>
  <conditionalFormatting sqref="F53">
    <cfRule type="expression" priority="1152" dxfId="0" stopIfTrue="1">
      <formula>L53&lt;6</formula>
    </cfRule>
  </conditionalFormatting>
  <conditionalFormatting sqref="F497">
    <cfRule type="expression" priority="1135" dxfId="0" stopIfTrue="1">
      <formula>L497&lt;6</formula>
    </cfRule>
  </conditionalFormatting>
  <conditionalFormatting sqref="F28 F53 F31">
    <cfRule type="expression" priority="1156" dxfId="0" stopIfTrue="1">
      <formula>L28&lt;6</formula>
    </cfRule>
  </conditionalFormatting>
  <conditionalFormatting sqref="F549">
    <cfRule type="expression" priority="1157" dxfId="0" stopIfTrue="1">
      <formula>L549&lt;6</formula>
    </cfRule>
  </conditionalFormatting>
  <conditionalFormatting sqref="G431">
    <cfRule type="expression" priority="1090" dxfId="0" stopIfTrue="1">
      <formula>M431&lt;6</formula>
    </cfRule>
  </conditionalFormatting>
  <conditionalFormatting sqref="F45">
    <cfRule type="expression" priority="1153" dxfId="0" stopIfTrue="1">
      <formula>L45&lt;6</formula>
    </cfRule>
  </conditionalFormatting>
  <conditionalFormatting sqref="G237">
    <cfRule type="expression" priority="1124" dxfId="0" stopIfTrue="1">
      <formula>M237&lt;6</formula>
    </cfRule>
  </conditionalFormatting>
  <conditionalFormatting sqref="F35">
    <cfRule type="expression" priority="1140" dxfId="0" stopIfTrue="1">
      <formula>L35&lt;6</formula>
    </cfRule>
  </conditionalFormatting>
  <conditionalFormatting sqref="F281">
    <cfRule type="expression" priority="1138" dxfId="0" stopIfTrue="1">
      <formula>L281&lt;6</formula>
    </cfRule>
  </conditionalFormatting>
  <conditionalFormatting sqref="F526">
    <cfRule type="expression" priority="1136" dxfId="0" stopIfTrue="1">
      <formula>L526&lt;6</formula>
    </cfRule>
  </conditionalFormatting>
  <conditionalFormatting sqref="G73">
    <cfRule type="expression" priority="1076" dxfId="0" stopIfTrue="1">
      <formula>M73&lt;6</formula>
    </cfRule>
  </conditionalFormatting>
  <conditionalFormatting sqref="G86">
    <cfRule type="expression" priority="1073" dxfId="0" stopIfTrue="1">
      <formula>M86&lt;6</formula>
    </cfRule>
  </conditionalFormatting>
  <conditionalFormatting sqref="G22">
    <cfRule type="expression" priority="1072" dxfId="0" stopIfTrue="1">
      <formula>M22&lt;6</formula>
    </cfRule>
  </conditionalFormatting>
  <conditionalFormatting sqref="G18">
    <cfRule type="expression" priority="1068" dxfId="0" stopIfTrue="1">
      <formula>M18&lt;6</formula>
    </cfRule>
  </conditionalFormatting>
  <conditionalFormatting sqref="G69">
    <cfRule type="expression" priority="1074" dxfId="0" stopIfTrue="1">
      <formula>M69&lt;6</formula>
    </cfRule>
  </conditionalFormatting>
  <conditionalFormatting sqref="G40">
    <cfRule type="expression" priority="1070" dxfId="0" stopIfTrue="1">
      <formula>M40&lt;6</formula>
    </cfRule>
  </conditionalFormatting>
  <conditionalFormatting sqref="G13">
    <cfRule type="expression" priority="1071" dxfId="0" stopIfTrue="1">
      <formula>M13&lt;6</formula>
    </cfRule>
  </conditionalFormatting>
  <conditionalFormatting sqref="G397">
    <cfRule type="expression" priority="1117" dxfId="0" stopIfTrue="1">
      <formula>M397&lt;6</formula>
    </cfRule>
  </conditionalFormatting>
  <conditionalFormatting sqref="G401">
    <cfRule type="expression" priority="1112" dxfId="0" stopIfTrue="1">
      <formula>M401&lt;6</formula>
    </cfRule>
  </conditionalFormatting>
  <conditionalFormatting sqref="G245">
    <cfRule type="expression" priority="1099" dxfId="0" stopIfTrue="1">
      <formula>M245&lt;6</formula>
    </cfRule>
  </conditionalFormatting>
  <conditionalFormatting sqref="G228">
    <cfRule type="expression" priority="1125" dxfId="0" stopIfTrue="1">
      <formula>M228&lt;6</formula>
    </cfRule>
  </conditionalFormatting>
  <conditionalFormatting sqref="G195">
    <cfRule type="expression" priority="1105" dxfId="0" stopIfTrue="1">
      <formula>M195&lt;6</formula>
    </cfRule>
  </conditionalFormatting>
  <conditionalFormatting sqref="G297">
    <cfRule type="expression" priority="1121" dxfId="0" stopIfTrue="1">
      <formula>M297&lt;6</formula>
    </cfRule>
  </conditionalFormatting>
  <conditionalFormatting sqref="G65">
    <cfRule type="expression" priority="1077" dxfId="0" stopIfTrue="1">
      <formula>M65&lt;6</formula>
    </cfRule>
  </conditionalFormatting>
  <conditionalFormatting sqref="G176">
    <cfRule type="expression" priority="1103" dxfId="0" stopIfTrue="1">
      <formula>M176&lt;6</formula>
    </cfRule>
  </conditionalFormatting>
  <conditionalFormatting sqref="G159">
    <cfRule type="expression" priority="1101" dxfId="0" stopIfTrue="1">
      <formula>M159&lt;6</formula>
    </cfRule>
  </conditionalFormatting>
  <conditionalFormatting sqref="G424">
    <cfRule type="expression" priority="1091" dxfId="0" stopIfTrue="1">
      <formula>M424&lt;6</formula>
    </cfRule>
  </conditionalFormatting>
  <conditionalFormatting sqref="G492">
    <cfRule type="expression" priority="1089" dxfId="0" stopIfTrue="1">
      <formula>M492&lt;6</formula>
    </cfRule>
  </conditionalFormatting>
  <conditionalFormatting sqref="G513">
    <cfRule type="expression" priority="1086" dxfId="0" stopIfTrue="1">
      <formula>M513&lt;6</formula>
    </cfRule>
  </conditionalFormatting>
  <conditionalFormatting sqref="G541">
    <cfRule type="expression" priority="1084" dxfId="0" stopIfTrue="1">
      <formula>M541&lt;6</formula>
    </cfRule>
  </conditionalFormatting>
  <conditionalFormatting sqref="G53">
    <cfRule type="expression" priority="1078" dxfId="0" stopIfTrue="1">
      <formula>M53&lt;6</formula>
    </cfRule>
  </conditionalFormatting>
  <conditionalFormatting sqref="G497">
    <cfRule type="expression" priority="1061" dxfId="0" stopIfTrue="1">
      <formula>M497&lt;6</formula>
    </cfRule>
  </conditionalFormatting>
  <conditionalFormatting sqref="G28 G53 G31">
    <cfRule type="expression" priority="1082" dxfId="0" stopIfTrue="1">
      <formula>M28&lt;6</formula>
    </cfRule>
  </conditionalFormatting>
  <conditionalFormatting sqref="G549">
    <cfRule type="expression" priority="1083" dxfId="0" stopIfTrue="1">
      <formula>M549&lt;6</formula>
    </cfRule>
  </conditionalFormatting>
  <conditionalFormatting sqref="G45">
    <cfRule type="expression" priority="1079" dxfId="0" stopIfTrue="1">
      <formula>M45&lt;6</formula>
    </cfRule>
  </conditionalFormatting>
  <conditionalFormatting sqref="G35">
    <cfRule type="expression" priority="1066" dxfId="0" stopIfTrue="1">
      <formula>M35&lt;6</formula>
    </cfRule>
  </conditionalFormatting>
  <conditionalFormatting sqref="G281">
    <cfRule type="expression" priority="1064" dxfId="0" stopIfTrue="1">
      <formula>M281&lt;6</formula>
    </cfRule>
  </conditionalFormatting>
  <conditionalFormatting sqref="G526">
    <cfRule type="expression" priority="1062" dxfId="0" stopIfTrue="1">
      <formula>M526&lt;6</formula>
    </cfRule>
  </conditionalFormatting>
  <conditionalFormatting sqref="F508">
    <cfRule type="expression" priority="966" dxfId="0" stopIfTrue="1">
      <formula>L508&lt;6</formula>
    </cfRule>
  </conditionalFormatting>
  <conditionalFormatting sqref="H503">
    <cfRule type="expression" priority="977" dxfId="0" stopIfTrue="1">
      <formula>N503&lt;6</formula>
    </cfRule>
  </conditionalFormatting>
  <conditionalFormatting sqref="G508">
    <cfRule type="expression" priority="965" dxfId="0" stopIfTrue="1">
      <formula>M508&lt;6</formula>
    </cfRule>
  </conditionalFormatting>
  <conditionalFormatting sqref="D503">
    <cfRule type="expression" priority="981" dxfId="0" stopIfTrue="1">
      <formula>J503&lt;6</formula>
    </cfRule>
  </conditionalFormatting>
  <conditionalFormatting sqref="E503">
    <cfRule type="expression" priority="980" dxfId="0" stopIfTrue="1">
      <formula>K503&lt;6</formula>
    </cfRule>
  </conditionalFormatting>
  <conditionalFormatting sqref="F503">
    <cfRule type="expression" priority="979" dxfId="0" stopIfTrue="1">
      <formula>L503&lt;6</formula>
    </cfRule>
  </conditionalFormatting>
  <conditionalFormatting sqref="A508">
    <cfRule type="expression" priority="970" dxfId="0" stopIfTrue="1">
      <formula>E508&lt;6</formula>
    </cfRule>
  </conditionalFormatting>
  <conditionalFormatting sqref="H508">
    <cfRule type="expression" priority="962" dxfId="0" stopIfTrue="1">
      <formula>N508&lt;6</formula>
    </cfRule>
  </conditionalFormatting>
  <conditionalFormatting sqref="D508">
    <cfRule type="expression" priority="968" dxfId="0" stopIfTrue="1">
      <formula>J508&lt;6</formula>
    </cfRule>
  </conditionalFormatting>
  <conditionalFormatting sqref="E508">
    <cfRule type="expression" priority="967" dxfId="0" stopIfTrue="1">
      <formula>K508&lt;6</formula>
    </cfRule>
  </conditionalFormatting>
  <conditionalFormatting sqref="A252">
    <cfRule type="expression" priority="901" dxfId="0" stopIfTrue="1">
      <formula>E252&lt;6</formula>
    </cfRule>
  </conditionalFormatting>
  <conditionalFormatting sqref="D252">
    <cfRule type="expression" priority="898" dxfId="0" stopIfTrue="1">
      <formula>J252&lt;6</formula>
    </cfRule>
  </conditionalFormatting>
  <conditionalFormatting sqref="A455">
    <cfRule type="expression" priority="851" dxfId="0" stopIfTrue="1">
      <formula>E455&lt;6</formula>
    </cfRule>
  </conditionalFormatting>
  <conditionalFormatting sqref="G455">
    <cfRule type="expression" priority="845" dxfId="0" stopIfTrue="1">
      <formula>M455&lt;6</formula>
    </cfRule>
  </conditionalFormatting>
  <conditionalFormatting sqref="F455">
    <cfRule type="expression" priority="846" dxfId="0" stopIfTrue="1">
      <formula>L455&lt;6</formula>
    </cfRule>
  </conditionalFormatting>
  <conditionalFormatting sqref="G252">
    <cfRule type="expression" priority="895" dxfId="0" stopIfTrue="1">
      <formula>M252&lt;6</formula>
    </cfRule>
  </conditionalFormatting>
  <conditionalFormatting sqref="H222">
    <cfRule type="expression" priority="819" dxfId="0" stopIfTrue="1">
      <formula>N222&lt;6</formula>
    </cfRule>
  </conditionalFormatting>
  <conditionalFormatting sqref="E455">
    <cfRule type="expression" priority="847" dxfId="0" stopIfTrue="1">
      <formula>K455&lt;6</formula>
    </cfRule>
  </conditionalFormatting>
  <conditionalFormatting sqref="D455">
    <cfRule type="expression" priority="848" dxfId="0" stopIfTrue="1">
      <formula>J455&lt;6</formula>
    </cfRule>
  </conditionalFormatting>
  <conditionalFormatting sqref="E252">
    <cfRule type="expression" priority="897" dxfId="0" stopIfTrue="1">
      <formula>K252&lt;6</formula>
    </cfRule>
  </conditionalFormatting>
  <conditionalFormatting sqref="F252">
    <cfRule type="expression" priority="896" dxfId="0" stopIfTrue="1">
      <formula>L252&lt;6</formula>
    </cfRule>
  </conditionalFormatting>
  <conditionalFormatting sqref="G218">
    <cfRule type="expression" priority="837" dxfId="0" stopIfTrue="1">
      <formula>M218&lt;6</formula>
    </cfRule>
  </conditionalFormatting>
  <conditionalFormatting sqref="D218">
    <cfRule type="expression" priority="840" dxfId="0" stopIfTrue="1">
      <formula>J218&lt;6</formula>
    </cfRule>
  </conditionalFormatting>
  <conditionalFormatting sqref="A218">
    <cfRule type="expression" priority="841" dxfId="0" stopIfTrue="1">
      <formula>E218&lt;6</formula>
    </cfRule>
  </conditionalFormatting>
  <conditionalFormatting sqref="G216">
    <cfRule type="expression" priority="829" dxfId="0" stopIfTrue="1">
      <formula>M216&lt;6</formula>
    </cfRule>
  </conditionalFormatting>
  <conditionalFormatting sqref="A216">
    <cfRule type="expression" priority="833" dxfId="0" stopIfTrue="1">
      <formula>E216&lt;6</formula>
    </cfRule>
  </conditionalFormatting>
  <conditionalFormatting sqref="H218">
    <cfRule type="expression" priority="836" dxfId="0" stopIfTrue="1">
      <formula>N218&lt;6</formula>
    </cfRule>
  </conditionalFormatting>
  <conditionalFormatting sqref="F218">
    <cfRule type="expression" priority="838" dxfId="0" stopIfTrue="1">
      <formula>L218&lt;6</formula>
    </cfRule>
  </conditionalFormatting>
  <conditionalFormatting sqref="E218">
    <cfRule type="expression" priority="839" dxfId="0" stopIfTrue="1">
      <formula>K218&lt;6</formula>
    </cfRule>
  </conditionalFormatting>
  <conditionalFormatting sqref="A222">
    <cfRule type="expression" priority="824" dxfId="0" stopIfTrue="1">
      <formula>E222&lt;6</formula>
    </cfRule>
  </conditionalFormatting>
  <conditionalFormatting sqref="D216">
    <cfRule type="expression" priority="832" dxfId="0" stopIfTrue="1">
      <formula>J216&lt;6</formula>
    </cfRule>
  </conditionalFormatting>
  <conditionalFormatting sqref="E216">
    <cfRule type="expression" priority="831" dxfId="0" stopIfTrue="1">
      <formula>K216&lt;6</formula>
    </cfRule>
  </conditionalFormatting>
  <conditionalFormatting sqref="F216">
    <cfRule type="expression" priority="830" dxfId="0" stopIfTrue="1">
      <formula>L216&lt;6</formula>
    </cfRule>
  </conditionalFormatting>
  <conditionalFormatting sqref="E222">
    <cfRule type="expression" priority="822" dxfId="0" stopIfTrue="1">
      <formula>K222&lt;6</formula>
    </cfRule>
  </conditionalFormatting>
  <conditionalFormatting sqref="F222">
    <cfRule type="expression" priority="821" dxfId="0" stopIfTrue="1">
      <formula>L222&lt;6</formula>
    </cfRule>
  </conditionalFormatting>
  <conditionalFormatting sqref="D222">
    <cfRule type="expression" priority="823" dxfId="0" stopIfTrue="1">
      <formula>J222&lt;6</formula>
    </cfRule>
  </conditionalFormatting>
  <conditionalFormatting sqref="A262">
    <cfRule type="expression" priority="813" dxfId="0" stopIfTrue="1">
      <formula>E262&lt;6</formula>
    </cfRule>
  </conditionalFormatting>
  <conditionalFormatting sqref="H216">
    <cfRule type="expression" priority="828" dxfId="0" stopIfTrue="1">
      <formula>N216&lt;6</formula>
    </cfRule>
  </conditionalFormatting>
  <conditionalFormatting sqref="E262">
    <cfRule type="expression" priority="811" dxfId="0" stopIfTrue="1">
      <formula>K262&lt;6</formula>
    </cfRule>
  </conditionalFormatting>
  <conditionalFormatting sqref="A264">
    <cfRule type="expression" priority="805" dxfId="0" stopIfTrue="1">
      <formula>E264&lt;6</formula>
    </cfRule>
  </conditionalFormatting>
  <conditionalFormatting sqref="G264">
    <cfRule type="expression" priority="801" dxfId="0" stopIfTrue="1">
      <formula>M264&lt;6</formula>
    </cfRule>
  </conditionalFormatting>
  <conditionalFormatting sqref="E264">
    <cfRule type="expression" priority="803" dxfId="0" stopIfTrue="1">
      <formula>K264&lt;6</formula>
    </cfRule>
  </conditionalFormatting>
  <conditionalFormatting sqref="D262">
    <cfRule type="expression" priority="812" dxfId="0" stopIfTrue="1">
      <formula>J262&lt;6</formula>
    </cfRule>
  </conditionalFormatting>
  <conditionalFormatting sqref="G222">
    <cfRule type="expression" priority="820" dxfId="0" stopIfTrue="1">
      <formula>M222&lt;6</formula>
    </cfRule>
  </conditionalFormatting>
  <conditionalFormatting sqref="G262">
    <cfRule type="expression" priority="809" dxfId="0" stopIfTrue="1">
      <formula>M262&lt;6</formula>
    </cfRule>
  </conditionalFormatting>
  <conditionalFormatting sqref="F262">
    <cfRule type="expression" priority="810" dxfId="0" stopIfTrue="1">
      <formula>L262&lt;6</formula>
    </cfRule>
  </conditionalFormatting>
  <conditionalFormatting sqref="D264">
    <cfRule type="expression" priority="804" dxfId="0" stopIfTrue="1">
      <formula>J264&lt;6</formula>
    </cfRule>
  </conditionalFormatting>
  <conditionalFormatting sqref="F264">
    <cfRule type="expression" priority="802" dxfId="0" stopIfTrue="1">
      <formula>L264&lt;6</formula>
    </cfRule>
  </conditionalFormatting>
  <conditionalFormatting sqref="E277">
    <cfRule type="expression" priority="746" dxfId="0" stopIfTrue="1">
      <formula>K277&lt;6</formula>
    </cfRule>
  </conditionalFormatting>
  <conditionalFormatting sqref="F277">
    <cfRule type="expression" priority="745" dxfId="0" stopIfTrue="1">
      <formula>L277&lt;6</formula>
    </cfRule>
  </conditionalFormatting>
  <conditionalFormatting sqref="A277">
    <cfRule type="expression" priority="748" dxfId="0" stopIfTrue="1">
      <formula>E277&lt;6</formula>
    </cfRule>
  </conditionalFormatting>
  <conditionalFormatting sqref="G277">
    <cfRule type="expression" priority="744" dxfId="0" stopIfTrue="1">
      <formula>M277&lt;6</formula>
    </cfRule>
  </conditionalFormatting>
  <conditionalFormatting sqref="G465">
    <cfRule type="expression" priority="735" dxfId="0" stopIfTrue="1">
      <formula>M465&lt;6</formula>
    </cfRule>
  </conditionalFormatting>
  <conditionalFormatting sqref="A465">
    <cfRule type="expression" priority="739" dxfId="0" stopIfTrue="1">
      <formula>E465&lt;6</formula>
    </cfRule>
  </conditionalFormatting>
  <conditionalFormatting sqref="A482">
    <cfRule type="expression" priority="731" dxfId="0" stopIfTrue="1">
      <formula>E482&lt;6</formula>
    </cfRule>
  </conditionalFormatting>
  <conditionalFormatting sqref="F482">
    <cfRule type="expression" priority="728" dxfId="0" stopIfTrue="1">
      <formula>L482&lt;6</formula>
    </cfRule>
  </conditionalFormatting>
  <conditionalFormatting sqref="E482">
    <cfRule type="expression" priority="729" dxfId="0" stopIfTrue="1">
      <formula>K482&lt;6</formula>
    </cfRule>
  </conditionalFormatting>
  <conditionalFormatting sqref="A273">
    <cfRule type="expression" priority="723" dxfId="0" stopIfTrue="1">
      <formula>E273&lt;6</formula>
    </cfRule>
  </conditionalFormatting>
  <conditionalFormatting sqref="D273">
    <cfRule type="expression" priority="722" dxfId="0" stopIfTrue="1">
      <formula>J273&lt;6</formula>
    </cfRule>
  </conditionalFormatting>
  <conditionalFormatting sqref="E273">
    <cfRule type="expression" priority="721" dxfId="0" stopIfTrue="1">
      <formula>K273&lt;6</formula>
    </cfRule>
  </conditionalFormatting>
  <conditionalFormatting sqref="F465">
    <cfRule type="expression" priority="736" dxfId="0" stopIfTrue="1">
      <formula>L465&lt;6</formula>
    </cfRule>
  </conditionalFormatting>
  <conditionalFormatting sqref="E465">
    <cfRule type="expression" priority="737" dxfId="0" stopIfTrue="1">
      <formula>K465&lt;6</formula>
    </cfRule>
  </conditionalFormatting>
  <conditionalFormatting sqref="H237">
    <cfRule type="expression" priority="716" dxfId="0" stopIfTrue="1">
      <formula>N237&lt;6</formula>
    </cfRule>
  </conditionalFormatting>
  <conditionalFormatting sqref="F273">
    <cfRule type="expression" priority="720" dxfId="0" stopIfTrue="1">
      <formula>L273&lt;6</formula>
    </cfRule>
  </conditionalFormatting>
  <conditionalFormatting sqref="G482">
    <cfRule type="expression" priority="727" dxfId="0" stopIfTrue="1">
      <formula>M482&lt;6</formula>
    </cfRule>
  </conditionalFormatting>
  <conditionalFormatting sqref="H264">
    <cfRule type="expression" priority="711" dxfId="0" stopIfTrue="1">
      <formula>N264&lt;6</formula>
    </cfRule>
  </conditionalFormatting>
  <conditionalFormatting sqref="H273">
    <cfRule type="expression" priority="709" dxfId="0" stopIfTrue="1">
      <formula>N273&lt;6</formula>
    </cfRule>
  </conditionalFormatting>
  <conditionalFormatting sqref="G273">
    <cfRule type="expression" priority="719" dxfId="0" stopIfTrue="1">
      <formula>M273&lt;6</formula>
    </cfRule>
  </conditionalFormatting>
  <conditionalFormatting sqref="H245">
    <cfRule type="expression" priority="715" dxfId="0" stopIfTrue="1">
      <formula>N245&lt;6</formula>
    </cfRule>
  </conditionalFormatting>
  <conditionalFormatting sqref="H252">
    <cfRule type="expression" priority="714" dxfId="0" stopIfTrue="1">
      <formula>N252&lt;6</formula>
    </cfRule>
  </conditionalFormatting>
  <conditionalFormatting sqref="H262">
    <cfRule type="expression" priority="713" dxfId="0" stopIfTrue="1">
      <formula>N262&lt;6</formula>
    </cfRule>
  </conditionalFormatting>
  <conditionalFormatting sqref="H277">
    <cfRule type="expression" priority="705" dxfId="0" stopIfTrue="1">
      <formula>N277&lt;6</formula>
    </cfRule>
  </conditionalFormatting>
  <conditionalFormatting sqref="A55">
    <cfRule type="expression" priority="679" dxfId="0" stopIfTrue="1">
      <formula>E55&lt;6</formula>
    </cfRule>
  </conditionalFormatting>
  <conditionalFormatting sqref="A57">
    <cfRule type="expression" priority="673" dxfId="0" stopIfTrue="1">
      <formula>E57&lt;6</formula>
    </cfRule>
  </conditionalFormatting>
  <conditionalFormatting sqref="H57">
    <cfRule type="expression" priority="667" dxfId="0" stopIfTrue="1">
      <formula>N57&lt;6</formula>
    </cfRule>
  </conditionalFormatting>
  <conditionalFormatting sqref="D57">
    <cfRule type="expression" priority="671" dxfId="0" stopIfTrue="1">
      <formula>J57&lt;6</formula>
    </cfRule>
  </conditionalFormatting>
  <conditionalFormatting sqref="E57">
    <cfRule type="expression" priority="670" dxfId="0" stopIfTrue="1">
      <formula>K57&lt;6</formula>
    </cfRule>
  </conditionalFormatting>
  <conditionalFormatting sqref="F57">
    <cfRule type="expression" priority="669" dxfId="0" stopIfTrue="1">
      <formula>L57&lt;6</formula>
    </cfRule>
  </conditionalFormatting>
  <conditionalFormatting sqref="G57">
    <cfRule type="expression" priority="668" dxfId="0" stopIfTrue="1">
      <formula>M57&lt;6</formula>
    </cfRule>
  </conditionalFormatting>
  <conditionalFormatting sqref="A61">
    <cfRule type="expression" priority="662" dxfId="0" stopIfTrue="1">
      <formula>E61&lt;6</formula>
    </cfRule>
  </conditionalFormatting>
  <conditionalFormatting sqref="H61">
    <cfRule type="expression" priority="656" dxfId="0" stopIfTrue="1">
      <formula>N61&lt;6</formula>
    </cfRule>
  </conditionalFormatting>
  <conditionalFormatting sqref="D61">
    <cfRule type="expression" priority="660" dxfId="0" stopIfTrue="1">
      <formula>J61&lt;6</formula>
    </cfRule>
  </conditionalFormatting>
  <conditionalFormatting sqref="E61">
    <cfRule type="expression" priority="659" dxfId="0" stopIfTrue="1">
      <formula>K61&lt;6</formula>
    </cfRule>
  </conditionalFormatting>
  <conditionalFormatting sqref="F61">
    <cfRule type="expression" priority="658" dxfId="0" stopIfTrue="1">
      <formula>L61&lt;6</formula>
    </cfRule>
  </conditionalFormatting>
  <conditionalFormatting sqref="G61">
    <cfRule type="expression" priority="657" dxfId="0" stopIfTrue="1">
      <formula>M61&lt;6</formula>
    </cfRule>
  </conditionalFormatting>
  <conditionalFormatting sqref="A233">
    <cfRule type="expression" priority="651" dxfId="0" stopIfTrue="1">
      <formula>E233&lt;6</formula>
    </cfRule>
  </conditionalFormatting>
  <conditionalFormatting sqref="A235">
    <cfRule type="expression" priority="650" dxfId="0" stopIfTrue="1">
      <formula>E235&lt;6</formula>
    </cfRule>
  </conditionalFormatting>
  <conditionalFormatting sqref="D233">
    <cfRule type="expression" priority="649" dxfId="0" stopIfTrue="1">
      <formula>J233&lt;6</formula>
    </cfRule>
  </conditionalFormatting>
  <conditionalFormatting sqref="E233">
    <cfRule type="expression" priority="648" dxfId="0" stopIfTrue="1">
      <formula>K233&lt;6</formula>
    </cfRule>
  </conditionalFormatting>
  <conditionalFormatting sqref="F233">
    <cfRule type="expression" priority="647" dxfId="0" stopIfTrue="1">
      <formula>L233&lt;6</formula>
    </cfRule>
  </conditionalFormatting>
  <conditionalFormatting sqref="G233">
    <cfRule type="expression" priority="646" dxfId="0" stopIfTrue="1">
      <formula>M233&lt;6</formula>
    </cfRule>
  </conditionalFormatting>
  <conditionalFormatting sqref="H233">
    <cfRule type="expression" priority="645" dxfId="0" stopIfTrue="1">
      <formula>N233&lt;6</formula>
    </cfRule>
  </conditionalFormatting>
  <conditionalFormatting sqref="H281">
    <cfRule type="expression" priority="612" dxfId="0" stopIfTrue="1">
      <formula>N281&lt;6</formula>
    </cfRule>
  </conditionalFormatting>
  <conditionalFormatting sqref="A282:A294">
    <cfRule type="expression" priority="615" dxfId="0" stopIfTrue="1">
      <formula>E282&lt;6</formula>
    </cfRule>
  </conditionalFormatting>
  <conditionalFormatting sqref="G412">
    <cfRule type="expression" priority="554" dxfId="0" stopIfTrue="1">
      <formula>M412&lt;6</formula>
    </cfRule>
  </conditionalFormatting>
  <conditionalFormatting sqref="H412">
    <cfRule type="expression" priority="553" dxfId="0" stopIfTrue="1">
      <formula>N412&lt;6</formula>
    </cfRule>
  </conditionalFormatting>
  <conditionalFormatting sqref="F412">
    <cfRule type="expression" priority="555" dxfId="0" stopIfTrue="1">
      <formula>L412&lt;6</formula>
    </cfRule>
  </conditionalFormatting>
  <conditionalFormatting sqref="E412">
    <cfRule type="expression" priority="556" dxfId="0" stopIfTrue="1">
      <formula>K412&lt;6</formula>
    </cfRule>
  </conditionalFormatting>
  <conditionalFormatting sqref="A412">
    <cfRule type="expression" priority="558" dxfId="0" stopIfTrue="1">
      <formula>E412&lt;6</formula>
    </cfRule>
  </conditionalFormatting>
  <conditionalFormatting sqref="D412">
    <cfRule type="expression" priority="557" dxfId="0" stopIfTrue="1">
      <formula>J412&lt;6</formula>
    </cfRule>
  </conditionalFormatting>
  <conditionalFormatting sqref="D482">
    <cfRule type="expression" priority="487" dxfId="0" stopIfTrue="1">
      <formula>J482&lt;6</formula>
    </cfRule>
  </conditionalFormatting>
  <conditionalFormatting sqref="H199">
    <cfRule type="expression" priority="477" dxfId="0" stopIfTrue="1">
      <formula>N199&lt;6</formula>
    </cfRule>
  </conditionalFormatting>
  <conditionalFormatting sqref="D465">
    <cfRule type="expression" priority="488" dxfId="0" stopIfTrue="1">
      <formula>J465&lt;6</formula>
    </cfRule>
  </conditionalFormatting>
  <conditionalFormatting sqref="A199">
    <cfRule type="expression" priority="484" dxfId="0" stopIfTrue="1">
      <formula>E199&lt;6</formula>
    </cfRule>
  </conditionalFormatting>
  <conditionalFormatting sqref="D199">
    <cfRule type="expression" priority="481" dxfId="0" stopIfTrue="1">
      <formula>J199&lt;6</formula>
    </cfRule>
  </conditionalFormatting>
  <conditionalFormatting sqref="H203">
    <cfRule type="expression" priority="467" dxfId="0" stopIfTrue="1">
      <formula>N203&lt;6</formula>
    </cfRule>
  </conditionalFormatting>
  <conditionalFormatting sqref="G199">
    <cfRule type="expression" priority="478" dxfId="0" stopIfTrue="1">
      <formula>M199&lt;6</formula>
    </cfRule>
  </conditionalFormatting>
  <conditionalFormatting sqref="A203">
    <cfRule type="expression" priority="474" dxfId="0" stopIfTrue="1">
      <formula>E203&lt;6</formula>
    </cfRule>
  </conditionalFormatting>
  <conditionalFormatting sqref="B199">
    <cfRule type="expression" priority="483" dxfId="0" stopIfTrue="1">
      <formula>H199&lt;6</formula>
    </cfRule>
  </conditionalFormatting>
  <conditionalFormatting sqref="H207">
    <cfRule type="expression" priority="457" dxfId="0" stopIfTrue="1">
      <formula>N207&lt;6</formula>
    </cfRule>
  </conditionalFormatting>
  <conditionalFormatting sqref="D203">
    <cfRule type="expression" priority="471" dxfId="0" stopIfTrue="1">
      <formula>J203&lt;6</formula>
    </cfRule>
  </conditionalFormatting>
  <conditionalFormatting sqref="C199">
    <cfRule type="expression" priority="482" dxfId="0" stopIfTrue="1">
      <formula>I199&lt;6</formula>
    </cfRule>
  </conditionalFormatting>
  <conditionalFormatting sqref="E199">
    <cfRule type="expression" priority="480" dxfId="0" stopIfTrue="1">
      <formula>K199&lt;6</formula>
    </cfRule>
  </conditionalFormatting>
  <conditionalFormatting sqref="F199">
    <cfRule type="expression" priority="479" dxfId="0" stopIfTrue="1">
      <formula>L199&lt;6</formula>
    </cfRule>
  </conditionalFormatting>
  <conditionalFormatting sqref="A207">
    <cfRule type="expression" priority="464" dxfId="0" stopIfTrue="1">
      <formula>E207&lt;6</formula>
    </cfRule>
  </conditionalFormatting>
  <conditionalFormatting sqref="B203">
    <cfRule type="expression" priority="473" dxfId="0" stopIfTrue="1">
      <formula>H203&lt;6</formula>
    </cfRule>
  </conditionalFormatting>
  <conditionalFormatting sqref="C203">
    <cfRule type="expression" priority="472" dxfId="0" stopIfTrue="1">
      <formula>I203&lt;6</formula>
    </cfRule>
  </conditionalFormatting>
  <conditionalFormatting sqref="E203">
    <cfRule type="expression" priority="470" dxfId="0" stopIfTrue="1">
      <formula>K203&lt;6</formula>
    </cfRule>
  </conditionalFormatting>
  <conditionalFormatting sqref="F203">
    <cfRule type="expression" priority="469" dxfId="0" stopIfTrue="1">
      <formula>L203&lt;6</formula>
    </cfRule>
  </conditionalFormatting>
  <conditionalFormatting sqref="G203">
    <cfRule type="expression" priority="468" dxfId="0" stopIfTrue="1">
      <formula>M203&lt;6</formula>
    </cfRule>
  </conditionalFormatting>
  <conditionalFormatting sqref="B207">
    <cfRule type="expression" priority="463" dxfId="0" stopIfTrue="1">
      <formula>H207&lt;6</formula>
    </cfRule>
  </conditionalFormatting>
  <conditionalFormatting sqref="D207">
    <cfRule type="expression" priority="461" dxfId="0" stopIfTrue="1">
      <formula>J207&lt;6</formula>
    </cfRule>
  </conditionalFormatting>
  <conditionalFormatting sqref="C207">
    <cfRule type="expression" priority="462" dxfId="0" stopIfTrue="1">
      <formula>I207&lt;6</formula>
    </cfRule>
  </conditionalFormatting>
  <conditionalFormatting sqref="E207">
    <cfRule type="expression" priority="460" dxfId="0" stopIfTrue="1">
      <formula>K207&lt;6</formula>
    </cfRule>
  </conditionalFormatting>
  <conditionalFormatting sqref="F207">
    <cfRule type="expression" priority="459" dxfId="0" stopIfTrue="1">
      <formula>L207&lt;6</formula>
    </cfRule>
  </conditionalFormatting>
  <conditionalFormatting sqref="G207">
    <cfRule type="expression" priority="458" dxfId="0" stopIfTrue="1">
      <formula>M207&lt;6</formula>
    </cfRule>
  </conditionalFormatting>
  <conditionalFormatting sqref="F487">
    <cfRule type="expression" priority="425" dxfId="0" stopIfTrue="1">
      <formula>L487&lt;6</formula>
    </cfRule>
  </conditionalFormatting>
  <conditionalFormatting sqref="H455">
    <cfRule type="expression" priority="432" dxfId="0" stopIfTrue="1">
      <formula>N455&lt;6</formula>
    </cfRule>
  </conditionalFormatting>
  <conditionalFormatting sqref="H465">
    <cfRule type="expression" priority="431" dxfId="0" stopIfTrue="1">
      <formula>N465&lt;6</formula>
    </cfRule>
  </conditionalFormatting>
  <conditionalFormatting sqref="H482">
    <cfRule type="expression" priority="430" dxfId="0" stopIfTrue="1">
      <formula>N482&lt;6</formula>
    </cfRule>
  </conditionalFormatting>
  <conditionalFormatting sqref="A487">
    <cfRule type="expression" priority="427" dxfId="0" stopIfTrue="1">
      <formula>E487&lt;6</formula>
    </cfRule>
  </conditionalFormatting>
  <conditionalFormatting sqref="E487">
    <cfRule type="expression" priority="426" dxfId="0" stopIfTrue="1">
      <formula>K487&lt;6</formula>
    </cfRule>
  </conditionalFormatting>
  <conditionalFormatting sqref="H487">
    <cfRule type="expression" priority="422" dxfId="0" stopIfTrue="1">
      <formula>N487&lt;6</formula>
    </cfRule>
  </conditionalFormatting>
  <conditionalFormatting sqref="G487">
    <cfRule type="expression" priority="424" dxfId="0" stopIfTrue="1">
      <formula>M487&lt;6</formula>
    </cfRule>
  </conditionalFormatting>
  <conditionalFormatting sqref="D487">
    <cfRule type="expression" priority="423" dxfId="0" stopIfTrue="1">
      <formula>J487&lt;6</formula>
    </cfRule>
  </conditionalFormatting>
  <conditionalFormatting sqref="G94">
    <cfRule type="expression" priority="413" dxfId="0" stopIfTrue="1">
      <formula>M94&lt;6</formula>
    </cfRule>
  </conditionalFormatting>
  <conditionalFormatting sqref="A94">
    <cfRule type="expression" priority="417" dxfId="0" stopIfTrue="1">
      <formula>E94&lt;6</formula>
    </cfRule>
  </conditionalFormatting>
  <conditionalFormatting sqref="D94">
    <cfRule type="expression" priority="416" dxfId="0" stopIfTrue="1">
      <formula>J94&lt;6</formula>
    </cfRule>
  </conditionalFormatting>
  <conditionalFormatting sqref="E94">
    <cfRule type="expression" priority="415" dxfId="0" stopIfTrue="1">
      <formula>K94&lt;6</formula>
    </cfRule>
  </conditionalFormatting>
  <conditionalFormatting sqref="F94">
    <cfRule type="expression" priority="414" dxfId="0" stopIfTrue="1">
      <formula>L94&lt;6</formula>
    </cfRule>
  </conditionalFormatting>
  <conditionalFormatting sqref="H94">
    <cfRule type="expression" priority="411" dxfId="0" stopIfTrue="1">
      <formula>N94&lt;6</formula>
    </cfRule>
  </conditionalFormatting>
  <conditionalFormatting sqref="D110">
    <cfRule type="expression" priority="390" dxfId="0" stopIfTrue="1">
      <formula>J110&lt;6</formula>
    </cfRule>
  </conditionalFormatting>
  <conditionalFormatting sqref="A110">
    <cfRule type="expression" priority="391" dxfId="0" stopIfTrue="1">
      <formula>E110&lt;6</formula>
    </cfRule>
  </conditionalFormatting>
  <conditionalFormatting sqref="G110">
    <cfRule type="expression" priority="387" dxfId="0" stopIfTrue="1">
      <formula>M110&lt;6</formula>
    </cfRule>
  </conditionalFormatting>
  <conditionalFormatting sqref="E110">
    <cfRule type="expression" priority="389" dxfId="0" stopIfTrue="1">
      <formula>K110&lt;6</formula>
    </cfRule>
  </conditionalFormatting>
  <conditionalFormatting sqref="F110">
    <cfRule type="expression" priority="388" dxfId="0" stopIfTrue="1">
      <formula>L110&lt;6</formula>
    </cfRule>
  </conditionalFormatting>
  <conditionalFormatting sqref="E127">
    <cfRule type="expression" priority="358" dxfId="0" stopIfTrue="1">
      <formula>K127&lt;6</formula>
    </cfRule>
  </conditionalFormatting>
  <conditionalFormatting sqref="D127">
    <cfRule type="expression" priority="359" dxfId="0" stopIfTrue="1">
      <formula>J127&lt;6</formula>
    </cfRule>
  </conditionalFormatting>
  <conditionalFormatting sqref="H110">
    <cfRule type="expression" priority="363" dxfId="0" stopIfTrue="1">
      <formula>N110&lt;6</formula>
    </cfRule>
  </conditionalFormatting>
  <conditionalFormatting sqref="A127">
    <cfRule type="expression" priority="360" dxfId="0" stopIfTrue="1">
      <formula>E127&lt;6</formula>
    </cfRule>
  </conditionalFormatting>
  <conditionalFormatting sqref="H127">
    <cfRule type="expression" priority="348" dxfId="0" stopIfTrue="1">
      <formula>N127&lt;6</formula>
    </cfRule>
  </conditionalFormatting>
  <conditionalFormatting sqref="G127">
    <cfRule type="expression" priority="356" dxfId="0" stopIfTrue="1">
      <formula>M127&lt;6</formula>
    </cfRule>
  </conditionalFormatting>
  <conditionalFormatting sqref="F127">
    <cfRule type="expression" priority="357" dxfId="0" stopIfTrue="1">
      <formula>L127&lt;6</formula>
    </cfRule>
  </conditionalFormatting>
  <conditionalFormatting sqref="F446">
    <cfRule type="expression" priority="329" dxfId="0" stopIfTrue="1">
      <formula>L446&lt;6</formula>
    </cfRule>
  </conditionalFormatting>
  <conditionalFormatting sqref="A446">
    <cfRule type="expression" priority="333" dxfId="0" stopIfTrue="1">
      <formula>E446&lt;6</formula>
    </cfRule>
  </conditionalFormatting>
  <conditionalFormatting sqref="C446">
    <cfRule type="expression" priority="332" dxfId="0" stopIfTrue="1">
      <formula>I446&lt;6</formula>
    </cfRule>
  </conditionalFormatting>
  <conditionalFormatting sqref="D446">
    <cfRule type="expression" priority="331" dxfId="0" stopIfTrue="1">
      <formula>J446&lt;6</formula>
    </cfRule>
  </conditionalFormatting>
  <conditionalFormatting sqref="E446">
    <cfRule type="expression" priority="330" dxfId="0" stopIfTrue="1">
      <formula>K446&lt;6</formula>
    </cfRule>
  </conditionalFormatting>
  <conditionalFormatting sqref="G446">
    <cfRule type="expression" priority="328" dxfId="0" stopIfTrue="1">
      <formula>M446&lt;6</formula>
    </cfRule>
  </conditionalFormatting>
  <conditionalFormatting sqref="H446">
    <cfRule type="expression" priority="327" dxfId="0" stopIfTrue="1">
      <formula>N446&lt;6</formula>
    </cfRule>
  </conditionalFormatting>
  <conditionalFormatting sqref="A182">
    <cfRule type="expression" priority="298" dxfId="0" stopIfTrue="1">
      <formula>E182&lt;6</formula>
    </cfRule>
  </conditionalFormatting>
  <conditionalFormatting sqref="B182">
    <cfRule type="expression" priority="297" dxfId="0" stopIfTrue="1">
      <formula>H182&lt;6</formula>
    </cfRule>
  </conditionalFormatting>
  <conditionalFormatting sqref="C182">
    <cfRule type="expression" priority="296" dxfId="0" stopIfTrue="1">
      <formula>I182&lt;6</formula>
    </cfRule>
  </conditionalFormatting>
  <conditionalFormatting sqref="H182">
    <cfRule type="expression" priority="291" dxfId="0" stopIfTrue="1">
      <formula>N182&lt;6</formula>
    </cfRule>
  </conditionalFormatting>
  <conditionalFormatting sqref="C188">
    <cfRule type="expression" priority="283" dxfId="0" stopIfTrue="1">
      <formula>I188&lt;6</formula>
    </cfRule>
  </conditionalFormatting>
  <conditionalFormatting sqref="B188">
    <cfRule type="expression" priority="284" dxfId="0" stopIfTrue="1">
      <formula>H188&lt;6</formula>
    </cfRule>
  </conditionalFormatting>
  <conditionalFormatting sqref="A188">
    <cfRule type="expression" priority="285" dxfId="0" stopIfTrue="1">
      <formula>E188&lt;6</formula>
    </cfRule>
  </conditionalFormatting>
  <conditionalFormatting sqref="A183:A186">
    <cfRule type="expression" priority="299" dxfId="0" stopIfTrue="1">
      <formula>E183&lt;6</formula>
    </cfRule>
  </conditionalFormatting>
  <conditionalFormatting sqref="H188">
    <cfRule type="expression" priority="278" dxfId="0" stopIfTrue="1">
      <formula>N188&lt;6</formula>
    </cfRule>
  </conditionalFormatting>
  <conditionalFormatting sqref="D182">
    <cfRule type="expression" priority="295" dxfId="0" stopIfTrue="1">
      <formula>J182&lt;6</formula>
    </cfRule>
  </conditionalFormatting>
  <conditionalFormatting sqref="E182">
    <cfRule type="expression" priority="294" dxfId="0" stopIfTrue="1">
      <formula>K182&lt;6</formula>
    </cfRule>
  </conditionalFormatting>
  <conditionalFormatting sqref="F182">
    <cfRule type="expression" priority="293" dxfId="0" stopIfTrue="1">
      <formula>L182&lt;6</formula>
    </cfRule>
  </conditionalFormatting>
  <conditionalFormatting sqref="G182">
    <cfRule type="expression" priority="292" dxfId="0" stopIfTrue="1">
      <formula>M182&lt;6</formula>
    </cfRule>
  </conditionalFormatting>
  <conditionalFormatting sqref="A189:A192">
    <cfRule type="expression" priority="286" dxfId="0" stopIfTrue="1">
      <formula>E189&lt;6</formula>
    </cfRule>
  </conditionalFormatting>
  <conditionalFormatting sqref="D188">
    <cfRule type="expression" priority="282" dxfId="0" stopIfTrue="1">
      <formula>J188&lt;6</formula>
    </cfRule>
  </conditionalFormatting>
  <conditionalFormatting sqref="E188">
    <cfRule type="expression" priority="281" dxfId="0" stopIfTrue="1">
      <formula>K188&lt;6</formula>
    </cfRule>
  </conditionalFormatting>
  <conditionalFormatting sqref="F188">
    <cfRule type="expression" priority="280" dxfId="0" stopIfTrue="1">
      <formula>L188&lt;6</formula>
    </cfRule>
  </conditionalFormatting>
  <conditionalFormatting sqref="G188">
    <cfRule type="expression" priority="279" dxfId="0" stopIfTrue="1">
      <formula>M188&lt;6</formula>
    </cfRule>
  </conditionalFormatting>
  <conditionalFormatting sqref="G143">
    <cfRule type="expression" priority="258" dxfId="0" stopIfTrue="1">
      <formula>M143&lt;6</formula>
    </cfRule>
  </conditionalFormatting>
  <conditionalFormatting sqref="F143">
    <cfRule type="expression" priority="259" dxfId="0" stopIfTrue="1">
      <formula>L143&lt;6</formula>
    </cfRule>
  </conditionalFormatting>
  <conditionalFormatting sqref="H143">
    <cfRule type="expression" priority="252" dxfId="0" stopIfTrue="1">
      <formula>N143&lt;6</formula>
    </cfRule>
  </conditionalFormatting>
  <conditionalFormatting sqref="D143">
    <cfRule type="expression" priority="261" dxfId="0" stopIfTrue="1">
      <formula>J143&lt;6</formula>
    </cfRule>
  </conditionalFormatting>
  <conditionalFormatting sqref="E143">
    <cfRule type="expression" priority="260" dxfId="0" stopIfTrue="1">
      <formula>K143&lt;6</formula>
    </cfRule>
  </conditionalFormatting>
  <conditionalFormatting sqref="A143">
    <cfRule type="expression" priority="262" dxfId="0" stopIfTrue="1">
      <formula>E143&lt;6</formula>
    </cfRule>
  </conditionalFormatting>
  <conditionalFormatting sqref="A521">
    <cfRule type="expression" priority="246" dxfId="0" stopIfTrue="1">
      <formula>E521&lt;6</formula>
    </cfRule>
  </conditionalFormatting>
  <conditionalFormatting sqref="H211">
    <cfRule type="expression" priority="235" dxfId="0" stopIfTrue="1">
      <formula>N211&lt;6</formula>
    </cfRule>
  </conditionalFormatting>
  <conditionalFormatting sqref="A211">
    <cfRule type="expression" priority="242" dxfId="0" stopIfTrue="1">
      <formula>E211&lt;6</formula>
    </cfRule>
  </conditionalFormatting>
  <conditionalFormatting sqref="B211">
    <cfRule type="expression" priority="241" dxfId="0" stopIfTrue="1">
      <formula>H211&lt;6</formula>
    </cfRule>
  </conditionalFormatting>
  <conditionalFormatting sqref="D211">
    <cfRule type="expression" priority="239" dxfId="0" stopIfTrue="1">
      <formula>J211&lt;6</formula>
    </cfRule>
  </conditionalFormatting>
  <conditionalFormatting sqref="C211">
    <cfRule type="expression" priority="240" dxfId="0" stopIfTrue="1">
      <formula>I211&lt;6</formula>
    </cfRule>
  </conditionalFormatting>
  <conditionalFormatting sqref="E211">
    <cfRule type="expression" priority="238" dxfId="0" stopIfTrue="1">
      <formula>K211&lt;6</formula>
    </cfRule>
  </conditionalFormatting>
  <conditionalFormatting sqref="F211">
    <cfRule type="expression" priority="237" dxfId="0" stopIfTrue="1">
      <formula>L211&lt;6</formula>
    </cfRule>
  </conditionalFormatting>
  <conditionalFormatting sqref="G211">
    <cfRule type="expression" priority="236" dxfId="0" stopIfTrue="1">
      <formula>M211&lt;6</formula>
    </cfRule>
  </conditionalFormatting>
  <conditionalFormatting sqref="A537">
    <cfRule type="expression" priority="232" dxfId="0" stopIfTrue="1">
      <formula>E537&lt;6</formula>
    </cfRule>
  </conditionalFormatting>
  <conditionalFormatting sqref="B537">
    <cfRule type="expression" priority="231" dxfId="0" stopIfTrue="1">
      <formula>H537&lt;6</formula>
    </cfRule>
  </conditionalFormatting>
  <conditionalFormatting sqref="H537">
    <cfRule type="expression" priority="224" dxfId="0" stopIfTrue="1">
      <formula>N537&lt;6</formula>
    </cfRule>
  </conditionalFormatting>
  <conditionalFormatting sqref="C537">
    <cfRule type="expression" priority="230" dxfId="0" stopIfTrue="1">
      <formula>I537&lt;6</formula>
    </cfRule>
  </conditionalFormatting>
  <conditionalFormatting sqref="D537">
    <cfRule type="expression" priority="229" dxfId="0" stopIfTrue="1">
      <formula>J537&lt;6</formula>
    </cfRule>
  </conditionalFormatting>
  <conditionalFormatting sqref="E537">
    <cfRule type="expression" priority="228" dxfId="0" stopIfTrue="1">
      <formula>K537&lt;6</formula>
    </cfRule>
  </conditionalFormatting>
  <conditionalFormatting sqref="F537">
    <cfRule type="expression" priority="227" dxfId="0" stopIfTrue="1">
      <formula>L537&lt;6</formula>
    </cfRule>
  </conditionalFormatting>
  <conditionalFormatting sqref="G537">
    <cfRule type="expression" priority="226" dxfId="0" stopIfTrue="1">
      <formula>M537&lt;6</formula>
    </cfRule>
  </conditionalFormatting>
  <conditionalFormatting sqref="A374">
    <cfRule type="expression" priority="214" dxfId="0" stopIfTrue="1">
      <formula>E374&lt;6</formula>
    </cfRule>
  </conditionalFormatting>
  <conditionalFormatting sqref="B374">
    <cfRule type="expression" priority="206" dxfId="0" stopIfTrue="1">
      <formula>E374&lt;6</formula>
    </cfRule>
  </conditionalFormatting>
  <conditionalFormatting sqref="E374">
    <cfRule type="expression" priority="210" dxfId="0" stopIfTrue="1">
      <formula>K374&lt;6</formula>
    </cfRule>
  </conditionalFormatting>
  <conditionalFormatting sqref="F374">
    <cfRule type="expression" priority="209" dxfId="0" stopIfTrue="1">
      <formula>L374&lt;6</formula>
    </cfRule>
  </conditionalFormatting>
  <conditionalFormatting sqref="G374">
    <cfRule type="expression" priority="208" dxfId="0" stopIfTrue="1">
      <formula>M374&lt;6</formula>
    </cfRule>
  </conditionalFormatting>
  <conditionalFormatting sqref="D374">
    <cfRule type="expression" priority="211" dxfId="0" stopIfTrue="1">
      <formula>J374&lt;6</formula>
    </cfRule>
  </conditionalFormatting>
  <conditionalFormatting sqref="A380:A384">
    <cfRule type="expression" priority="205" dxfId="0" stopIfTrue="1">
      <formula>E380&lt;6</formula>
    </cfRule>
  </conditionalFormatting>
  <conditionalFormatting sqref="A375">
    <cfRule type="expression" priority="195" dxfId="0" stopIfTrue="1">
      <formula>E375&lt;6</formula>
    </cfRule>
  </conditionalFormatting>
  <conditionalFormatting sqref="B375">
    <cfRule type="expression" priority="187" dxfId="0" stopIfTrue="1">
      <formula>E375&lt;6</formula>
    </cfRule>
  </conditionalFormatting>
  <conditionalFormatting sqref="E375">
    <cfRule type="expression" priority="191" dxfId="0" stopIfTrue="1">
      <formula>K375&lt;6</formula>
    </cfRule>
  </conditionalFormatting>
  <conditionalFormatting sqref="F375">
    <cfRule type="expression" priority="190" dxfId="0" stopIfTrue="1">
      <formula>L375&lt;6</formula>
    </cfRule>
  </conditionalFormatting>
  <conditionalFormatting sqref="G375">
    <cfRule type="expression" priority="189" dxfId="0" stopIfTrue="1">
      <formula>M375&lt;6</formula>
    </cfRule>
  </conditionalFormatting>
  <conditionalFormatting sqref="D375">
    <cfRule type="expression" priority="192" dxfId="0" stopIfTrue="1">
      <formula>J375&lt;6</formula>
    </cfRule>
  </conditionalFormatting>
  <conditionalFormatting sqref="D379">
    <cfRule type="expression" priority="172" dxfId="0" stopIfTrue="1">
      <formula>J379&lt;6</formula>
    </cfRule>
  </conditionalFormatting>
  <conditionalFormatting sqref="F379">
    <cfRule type="expression" priority="170" dxfId="0" stopIfTrue="1">
      <formula>L379&lt;6</formula>
    </cfRule>
  </conditionalFormatting>
  <conditionalFormatting sqref="G379">
    <cfRule type="expression" priority="169" dxfId="0" stopIfTrue="1">
      <formula>M379&lt;6</formula>
    </cfRule>
  </conditionalFormatting>
  <conditionalFormatting sqref="E386">
    <cfRule type="expression" priority="155" dxfId="0" stopIfTrue="1">
      <formula>K386&lt;6</formula>
    </cfRule>
  </conditionalFormatting>
  <conditionalFormatting sqref="A386">
    <cfRule type="expression" priority="159" dxfId="0" stopIfTrue="1">
      <formula>E386&lt;6</formula>
    </cfRule>
  </conditionalFormatting>
  <conditionalFormatting sqref="E379">
    <cfRule type="expression" priority="171" dxfId="0" stopIfTrue="1">
      <formula>K379&lt;6</formula>
    </cfRule>
  </conditionalFormatting>
  <conditionalFormatting sqref="A379">
    <cfRule type="expression" priority="175" dxfId="0" stopIfTrue="1">
      <formula>E379&lt;6</formula>
    </cfRule>
  </conditionalFormatting>
  <conditionalFormatting sqref="F386">
    <cfRule type="expression" priority="154" dxfId="0" stopIfTrue="1">
      <formula>L386&lt;6</formula>
    </cfRule>
  </conditionalFormatting>
  <conditionalFormatting sqref="D386">
    <cfRule type="expression" priority="156" dxfId="0" stopIfTrue="1">
      <formula>J386&lt;6</formula>
    </cfRule>
  </conditionalFormatting>
  <conditionalFormatting sqref="G386">
    <cfRule type="expression" priority="153" dxfId="0" stopIfTrue="1">
      <formula>M386&lt;6</formula>
    </cfRule>
  </conditionalFormatting>
  <conditionalFormatting sqref="B379">
    <cfRule type="expression" priority="167" dxfId="0" stopIfTrue="1">
      <formula>E379&lt;6</formula>
    </cfRule>
  </conditionalFormatting>
  <conditionalFormatting sqref="A387:A394">
    <cfRule type="expression" priority="146" dxfId="0" stopIfTrue="1">
      <formula>E387&lt;6</formula>
    </cfRule>
  </conditionalFormatting>
  <conditionalFormatting sqref="B386">
    <cfRule type="expression" priority="151" dxfId="0" stopIfTrue="1">
      <formula>E386&lt;6</formula>
    </cfRule>
  </conditionalFormatting>
  <conditionalFormatting sqref="A395">
    <cfRule type="expression" priority="143" dxfId="0" stopIfTrue="1">
      <formula>E395&lt;6</formula>
    </cfRule>
  </conditionalFormatting>
  <conditionalFormatting sqref="H374">
    <cfRule type="expression" priority="88" dxfId="0" stopIfTrue="1">
      <formula>N374&lt;6</formula>
    </cfRule>
  </conditionalFormatting>
  <conditionalFormatting sqref="H375">
    <cfRule type="expression" priority="87" dxfId="0" stopIfTrue="1">
      <formula>N375&lt;6</formula>
    </cfRule>
  </conditionalFormatting>
  <conditionalFormatting sqref="H379">
    <cfRule type="expression" priority="86" dxfId="0" stopIfTrue="1">
      <formula>N379&lt;6</formula>
    </cfRule>
  </conditionalFormatting>
  <conditionalFormatting sqref="H386">
    <cfRule type="expression" priority="85" dxfId="0" stopIfTrue="1">
      <formula>N386&lt;6</formula>
    </cfRule>
  </conditionalFormatting>
  <conditionalFormatting sqref="D277">
    <cfRule type="expression" priority="17" dxfId="0" stopIfTrue="1">
      <formula>J277&lt;6</formula>
    </cfRule>
  </conditionalFormatting>
  <conditionalFormatting sqref="B159">
    <cfRule type="expression" priority="7" dxfId="0" stopIfTrue="1">
      <formula>H159&lt;6</formula>
    </cfRule>
  </conditionalFormatting>
  <conditionalFormatting sqref="A241">
    <cfRule type="expression" priority="6" dxfId="0" stopIfTrue="1">
      <formula>E241&lt;6</formula>
    </cfRule>
  </conditionalFormatting>
  <conditionalFormatting sqref="D241">
    <cfRule type="expression" priority="5" dxfId="0" stopIfTrue="1">
      <formula>J241&lt;6</formula>
    </cfRule>
  </conditionalFormatting>
  <conditionalFormatting sqref="E241">
    <cfRule type="expression" priority="4" dxfId="0" stopIfTrue="1">
      <formula>K241&lt;6</formula>
    </cfRule>
  </conditionalFormatting>
  <conditionalFormatting sqref="F241">
    <cfRule type="expression" priority="3" dxfId="0" stopIfTrue="1">
      <formula>L241&lt;6</formula>
    </cfRule>
  </conditionalFormatting>
  <conditionalFormatting sqref="G241">
    <cfRule type="expression" priority="2" dxfId="0" stopIfTrue="1">
      <formula>M241&lt;6</formula>
    </cfRule>
  </conditionalFormatting>
  <conditionalFormatting sqref="H241">
    <cfRule type="expression" priority="1" dxfId="0" stopIfTrue="1">
      <formula>N241&lt;6</formula>
    </cfRule>
  </conditionalFormatting>
  <printOptions/>
  <pageMargins left="0.5118110236220472" right="0" top="0.1968503937007874" bottom="0.7874015748031497" header="0" footer="0"/>
  <pageSetup fitToHeight="0" fitToWidth="1" horizontalDpi="600" verticalDpi="600" orientation="landscape" paperSize="9" scale="74" r:id="rId2"/>
  <headerFooter>
    <oddFooter>&amp;CPágina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view="pageBreakPreview" zoomScaleSheetLayoutView="100" zoomScalePageLayoutView="0" workbookViewId="0" topLeftCell="A1">
      <selection activeCell="C3" sqref="A1:C3"/>
    </sheetView>
  </sheetViews>
  <sheetFormatPr defaultColWidth="9.140625" defaultRowHeight="12.75"/>
  <cols>
    <col min="1" max="1" width="6.00390625" style="5" customWidth="1"/>
    <col min="2" max="2" width="71.28125" style="2" customWidth="1"/>
    <col min="3" max="3" width="17.7109375" style="3" customWidth="1"/>
    <col min="4" max="16384" width="9.140625" style="4" customWidth="1"/>
  </cols>
  <sheetData>
    <row r="1" spans="1:3" ht="12.75">
      <c r="A1" s="28" t="s">
        <v>34</v>
      </c>
      <c r="B1" s="29"/>
      <c r="C1" s="30"/>
    </row>
    <row r="2" spans="1:3" ht="12.75">
      <c r="A2" s="26" t="str">
        <f>'ORÇ - CONSOLIDADO'!A2</f>
        <v>Elaboração</v>
      </c>
      <c r="B2" s="24"/>
      <c r="C2" s="31"/>
    </row>
    <row r="3" spans="1:3" ht="15.75" customHeight="1" thickBot="1">
      <c r="A3" s="27" t="str">
        <f>'ORÇ - CONSOLIDADO'!A3</f>
        <v>Empreendimento:</v>
      </c>
      <c r="B3" s="25"/>
      <c r="C3" s="32"/>
    </row>
    <row r="4" spans="1:3" s="6" customFormat="1" ht="17.25" customHeight="1">
      <c r="A4" s="281" t="s">
        <v>27</v>
      </c>
      <c r="B4" s="282" t="s">
        <v>6</v>
      </c>
      <c r="C4" s="284" t="s">
        <v>96</v>
      </c>
    </row>
    <row r="5" spans="1:3" s="6" customFormat="1" ht="26.25" customHeight="1">
      <c r="A5" s="281"/>
      <c r="B5" s="283"/>
      <c r="C5" s="285"/>
    </row>
    <row r="6" spans="1:3" s="10" customFormat="1" ht="18" customHeight="1">
      <c r="A6" s="7" t="s">
        <v>33</v>
      </c>
      <c r="B6" s="8" t="str">
        <f>'ORÇ - CONSOLIDADO'!B12</f>
        <v>SERVIÇOS INICIAIS</v>
      </c>
      <c r="C6" s="9" t="e">
        <f>#REF!</f>
        <v>#REF!</v>
      </c>
    </row>
    <row r="7" spans="1:4" ht="18" customHeight="1">
      <c r="A7" s="11"/>
      <c r="B7" s="12"/>
      <c r="C7" s="13"/>
      <c r="D7" s="10"/>
    </row>
    <row r="8" spans="1:3" s="10" customFormat="1" ht="18" customHeight="1">
      <c r="A8" s="7" t="s">
        <v>10</v>
      </c>
      <c r="B8" s="8" t="str">
        <f>'ORÇ - CONSOLIDADO'!B158</f>
        <v>ESTRUTURA DE  CONCRETO</v>
      </c>
      <c r="C8" s="9" t="e">
        <f>#REF!</f>
        <v>#REF!</v>
      </c>
    </row>
    <row r="9" spans="1:4" ht="18" customHeight="1">
      <c r="A9" s="11"/>
      <c r="B9" s="12"/>
      <c r="C9" s="13"/>
      <c r="D9" s="10"/>
    </row>
    <row r="10" spans="1:3" s="10" customFormat="1" ht="18" customHeight="1">
      <c r="A10" s="7" t="s">
        <v>11</v>
      </c>
      <c r="B10" s="8" t="str">
        <f>'ORÇ - CONSOLIDADO'!B215</f>
        <v>ALVENARIA E ELEMENTO DIVISOR</v>
      </c>
      <c r="C10" s="9" t="e">
        <f>#REF!</f>
        <v>#REF!</v>
      </c>
    </row>
    <row r="11" spans="1:4" ht="18" customHeight="1">
      <c r="A11" s="11"/>
      <c r="B11" s="12"/>
      <c r="C11" s="13"/>
      <c r="D11" s="10"/>
    </row>
    <row r="12" spans="1:3" s="10" customFormat="1" ht="18" customHeight="1">
      <c r="A12" s="7" t="s">
        <v>12</v>
      </c>
      <c r="B12" s="8" t="str">
        <f>'ORÇ - CONSOLIDADO'!B227</f>
        <v>IMPERMEABILIZAÇÕES</v>
      </c>
      <c r="C12" s="9" t="e">
        <f>#REF!</f>
        <v>#REF!</v>
      </c>
    </row>
    <row r="13" spans="1:4" ht="18" customHeight="1">
      <c r="A13" s="11"/>
      <c r="B13" s="12"/>
      <c r="C13" s="13"/>
      <c r="D13" s="10"/>
    </row>
    <row r="14" spans="1:3" s="10" customFormat="1" ht="18" customHeight="1">
      <c r="A14" s="7" t="s">
        <v>13</v>
      </c>
      <c r="B14" s="8" t="str">
        <f>'ORÇ - CONSOLIDADO'!B244</f>
        <v>COBERTURA</v>
      </c>
      <c r="C14" s="9" t="e">
        <f>#REF!</f>
        <v>#REF!</v>
      </c>
    </row>
    <row r="15" spans="1:4" ht="18" customHeight="1">
      <c r="A15" s="11"/>
      <c r="B15" s="12"/>
      <c r="C15" s="13"/>
      <c r="D15" s="10"/>
    </row>
    <row r="16" spans="1:3" s="10" customFormat="1" ht="18" customHeight="1">
      <c r="A16" s="7" t="s">
        <v>14</v>
      </c>
      <c r="B16" s="8" t="str">
        <f>'ORÇ - CONSOLIDADO'!B280</f>
        <v>SPDA - SISTEMA DE PÁRA-RAIOS </v>
      </c>
      <c r="C16" s="9" t="e">
        <f>#REF!</f>
        <v>#REF!</v>
      </c>
    </row>
    <row r="17" spans="1:4" ht="18" customHeight="1">
      <c r="A17" s="11"/>
      <c r="B17" s="12"/>
      <c r="C17" s="13"/>
      <c r="D17" s="10"/>
    </row>
    <row r="18" spans="1:3" s="10" customFormat="1" ht="18" customHeight="1">
      <c r="A18" s="7" t="s">
        <v>15</v>
      </c>
      <c r="B18" s="8" t="str">
        <f>'ORÇ - CONSOLIDADO'!B296</f>
        <v>INSTALAÇÕES ELÉTRICAS</v>
      </c>
      <c r="C18" s="9" t="e">
        <f>#REF!</f>
        <v>#REF!</v>
      </c>
    </row>
    <row r="19" spans="1:4" ht="18" customHeight="1">
      <c r="A19" s="11"/>
      <c r="B19" s="12"/>
      <c r="C19" s="13"/>
      <c r="D19" s="10"/>
    </row>
    <row r="20" spans="1:3" s="10" customFormat="1" ht="18" customHeight="1">
      <c r="A20" s="7" t="s">
        <v>16</v>
      </c>
      <c r="B20" s="8" t="str">
        <f>'ORÇ - CONSOLIDADO'!B396</f>
        <v>INSTALAÇÕES HIDRÁULICAS</v>
      </c>
      <c r="C20" s="9" t="e">
        <f>#REF!</f>
        <v>#REF!</v>
      </c>
    </row>
    <row r="21" spans="1:4" ht="18" customHeight="1">
      <c r="A21" s="11"/>
      <c r="B21" s="12"/>
      <c r="C21" s="13"/>
      <c r="D21" s="10"/>
    </row>
    <row r="22" spans="1:3" s="10" customFormat="1" ht="18" customHeight="1">
      <c r="A22" s="7" t="s">
        <v>17</v>
      </c>
      <c r="B22" s="8" t="str">
        <f>'ORÇ - CONSOLIDADO'!B491</f>
        <v>REVESTIMENTOS PAREDES</v>
      </c>
      <c r="C22" s="9" t="e">
        <f>#REF!</f>
        <v>#REF!</v>
      </c>
    </row>
    <row r="23" spans="1:4" ht="18" customHeight="1">
      <c r="A23" s="11"/>
      <c r="B23" s="12"/>
      <c r="C23" s="13"/>
      <c r="D23" s="10"/>
    </row>
    <row r="24" spans="1:3" s="10" customFormat="1" ht="18" customHeight="1">
      <c r="A24" s="7" t="s">
        <v>19</v>
      </c>
      <c r="B24" s="8" t="str">
        <f>'ORÇ - CONSOLIDADO'!B496</f>
        <v>TETOS</v>
      </c>
      <c r="C24" s="9" t="e">
        <f>#REF!</f>
        <v>#REF!</v>
      </c>
    </row>
    <row r="25" spans="1:4" ht="18" customHeight="1">
      <c r="A25" s="11"/>
      <c r="B25" s="12"/>
      <c r="C25" s="13"/>
      <c r="D25" s="10"/>
    </row>
    <row r="26" spans="1:3" s="10" customFormat="1" ht="18" customHeight="1">
      <c r="A26" s="7" t="s">
        <v>20</v>
      </c>
      <c r="B26" s="8" t="str">
        <f>'ORÇ - CONSOLIDADO'!B502</f>
        <v>PISOS</v>
      </c>
      <c r="C26" s="9" t="e">
        <f>#REF!</f>
        <v>#REF!</v>
      </c>
    </row>
    <row r="27" spans="1:4" ht="18" customHeight="1">
      <c r="A27" s="11"/>
      <c r="B27" s="12"/>
      <c r="C27" s="13"/>
      <c r="D27" s="10"/>
    </row>
    <row r="28" spans="1:3" s="10" customFormat="1" ht="18" customHeight="1">
      <c r="A28" s="7" t="s">
        <v>22</v>
      </c>
      <c r="B28" s="8" t="e">
        <f>'ORÇ - CONSOLIDADO'!#REF!</f>
        <v>#REF!</v>
      </c>
      <c r="C28" s="9" t="e">
        <f>#REF!</f>
        <v>#REF!</v>
      </c>
    </row>
    <row r="29" spans="1:4" ht="18" customHeight="1">
      <c r="A29" s="11"/>
      <c r="B29" s="12"/>
      <c r="C29" s="13"/>
      <c r="D29" s="10"/>
    </row>
    <row r="30" spans="1:3" s="10" customFormat="1" ht="18" customHeight="1">
      <c r="A30" s="7" t="s">
        <v>1</v>
      </c>
      <c r="B30" s="8" t="str">
        <f>'ORÇ - CONSOLIDADO'!B512</f>
        <v>PINTURAS</v>
      </c>
      <c r="C30" s="9" t="e">
        <f>#REF!</f>
        <v>#REF!</v>
      </c>
    </row>
    <row r="31" spans="1:4" ht="18" customHeight="1">
      <c r="A31" s="11"/>
      <c r="B31" s="12"/>
      <c r="C31" s="13"/>
      <c r="D31" s="10"/>
    </row>
    <row r="32" spans="1:3" s="10" customFormat="1" ht="18" customHeight="1">
      <c r="A32" s="7" t="s">
        <v>2</v>
      </c>
      <c r="B32" s="8" t="e">
        <f>'ORÇ - CONSOLIDADO'!#REF!</f>
        <v>#REF!</v>
      </c>
      <c r="C32" s="9" t="e">
        <f>#REF!</f>
        <v>#REF!</v>
      </c>
    </row>
    <row r="33" spans="1:4" ht="18" customHeight="1">
      <c r="A33" s="11"/>
      <c r="B33" s="12"/>
      <c r="C33" s="13"/>
      <c r="D33" s="10"/>
    </row>
    <row r="34" spans="1:3" s="10" customFormat="1" ht="18" customHeight="1">
      <c r="A34" s="7" t="s">
        <v>40</v>
      </c>
      <c r="B34" s="8" t="str">
        <f>'ORÇ - CONSOLIDADO'!B540</f>
        <v>SERVIÇOS ADMINISTRATIVOS</v>
      </c>
      <c r="C34" s="9" t="e">
        <f>#REF!</f>
        <v>#REF!</v>
      </c>
    </row>
    <row r="35" spans="1:3" s="10" customFormat="1" ht="18" customHeight="1">
      <c r="A35" s="14"/>
      <c r="B35" s="15"/>
      <c r="C35" s="16"/>
    </row>
    <row r="36" spans="1:3" ht="18" customHeight="1">
      <c r="A36" s="17"/>
      <c r="B36" s="18" t="s">
        <v>28</v>
      </c>
      <c r="C36" s="19" t="e">
        <f>SUM(C6:C35)</f>
        <v>#REF!</v>
      </c>
    </row>
    <row r="37" spans="1:3" ht="7.5" customHeight="1">
      <c r="A37" s="20"/>
      <c r="B37" s="21"/>
      <c r="C37" s="22"/>
    </row>
    <row r="38" spans="1:3" ht="18" customHeight="1">
      <c r="A38" s="17"/>
      <c r="B38" s="18" t="s">
        <v>29</v>
      </c>
      <c r="C38" s="19" t="e">
        <f>C36*0.25</f>
        <v>#REF!</v>
      </c>
    </row>
    <row r="39" spans="1:3" ht="7.5" customHeight="1">
      <c r="A39" s="20"/>
      <c r="B39" s="21"/>
      <c r="C39" s="22"/>
    </row>
    <row r="40" spans="1:3" ht="28.5" customHeight="1">
      <c r="A40" s="1"/>
      <c r="B40" s="18" t="s">
        <v>30</v>
      </c>
      <c r="C40" s="23" t="e">
        <f>C36+C38</f>
        <v>#REF!</v>
      </c>
    </row>
    <row r="41" ht="19.5" customHeight="1"/>
    <row r="42" ht="32.25" customHeight="1"/>
    <row r="46" ht="19.5" customHeight="1"/>
    <row r="47" ht="32.25" customHeight="1"/>
  </sheetData>
  <sheetProtection/>
  <mergeCells count="3">
    <mergeCell ref="A4:A5"/>
    <mergeCell ref="B4:B5"/>
    <mergeCell ref="C4:C5"/>
  </mergeCells>
  <printOptions/>
  <pageMargins left="0.5118110236220472" right="0" top="0.7874015748031497" bottom="0" header="0" footer="0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view="pageBreakPreview" zoomScaleSheetLayoutView="100" zoomScalePageLayoutView="0" workbookViewId="0" topLeftCell="A1">
      <selection activeCell="C3" sqref="A1:C3"/>
    </sheetView>
  </sheetViews>
  <sheetFormatPr defaultColWidth="9.140625" defaultRowHeight="12.75"/>
  <cols>
    <col min="1" max="1" width="6.00390625" style="5" customWidth="1"/>
    <col min="2" max="2" width="71.28125" style="2" customWidth="1"/>
    <col min="3" max="3" width="17.7109375" style="3" customWidth="1"/>
    <col min="4" max="16384" width="9.140625" style="4" customWidth="1"/>
  </cols>
  <sheetData>
    <row r="1" spans="1:3" ht="12.75">
      <c r="A1" s="28" t="s">
        <v>34</v>
      </c>
      <c r="B1" s="29"/>
      <c r="C1" s="30"/>
    </row>
    <row r="2" spans="1:3" ht="12.75">
      <c r="A2" s="26" t="str">
        <f>'ORÇ - CONSOLIDADO'!A2</f>
        <v>Elaboração</v>
      </c>
      <c r="B2" s="24"/>
      <c r="C2" s="31"/>
    </row>
    <row r="3" spans="1:3" ht="15.75" customHeight="1" thickBot="1">
      <c r="A3" s="27" t="str">
        <f>'ORÇ - CONSOLIDADO'!A3</f>
        <v>Empreendimento:</v>
      </c>
      <c r="B3" s="25"/>
      <c r="C3" s="32"/>
    </row>
    <row r="4" spans="1:3" s="6" customFormat="1" ht="17.25" customHeight="1">
      <c r="A4" s="281" t="s">
        <v>27</v>
      </c>
      <c r="B4" s="282" t="s">
        <v>6</v>
      </c>
      <c r="C4" s="284" t="s">
        <v>97</v>
      </c>
    </row>
    <row r="5" spans="1:3" s="6" customFormat="1" ht="26.25" customHeight="1">
      <c r="A5" s="281"/>
      <c r="B5" s="283"/>
      <c r="C5" s="285"/>
    </row>
    <row r="6" spans="1:3" s="10" customFormat="1" ht="18" customHeight="1">
      <c r="A6" s="7" t="s">
        <v>33</v>
      </c>
      <c r="B6" s="8" t="str">
        <f>'ORÇ - CONSOLIDADO'!B12</f>
        <v>SERVIÇOS INICIAIS</v>
      </c>
      <c r="C6" s="9" t="e">
        <f>#REF!</f>
        <v>#REF!</v>
      </c>
    </row>
    <row r="7" spans="1:5" ht="18" customHeight="1">
      <c r="A7" s="11"/>
      <c r="B7" s="12"/>
      <c r="C7" s="13"/>
      <c r="E7" s="10"/>
    </row>
    <row r="8" spans="1:3" s="10" customFormat="1" ht="18" customHeight="1">
      <c r="A8" s="7" t="s">
        <v>10</v>
      </c>
      <c r="B8" s="8" t="str">
        <f>'ORÇ - CONSOLIDADO'!B158</f>
        <v>ESTRUTURA DE  CONCRETO</v>
      </c>
      <c r="C8" s="9" t="e">
        <f>#REF!</f>
        <v>#REF!</v>
      </c>
    </row>
    <row r="9" spans="1:5" ht="18" customHeight="1">
      <c r="A9" s="11"/>
      <c r="B9" s="12"/>
      <c r="C9" s="13"/>
      <c r="E9" s="10"/>
    </row>
    <row r="10" spans="1:3" s="10" customFormat="1" ht="18" customHeight="1">
      <c r="A10" s="7" t="s">
        <v>11</v>
      </c>
      <c r="B10" s="8" t="str">
        <f>'ORÇ - CONSOLIDADO'!B215</f>
        <v>ALVENARIA E ELEMENTO DIVISOR</v>
      </c>
      <c r="C10" s="9" t="e">
        <f>#REF!</f>
        <v>#REF!</v>
      </c>
    </row>
    <row r="11" spans="1:5" ht="18" customHeight="1">
      <c r="A11" s="11"/>
      <c r="B11" s="12"/>
      <c r="C11" s="13"/>
      <c r="E11" s="10"/>
    </row>
    <row r="12" spans="1:3" s="10" customFormat="1" ht="18" customHeight="1">
      <c r="A12" s="7" t="s">
        <v>12</v>
      </c>
      <c r="B12" s="8" t="str">
        <f>'ORÇ - CONSOLIDADO'!B227</f>
        <v>IMPERMEABILIZAÇÕES</v>
      </c>
      <c r="C12" s="9" t="e">
        <f>#REF!</f>
        <v>#REF!</v>
      </c>
    </row>
    <row r="13" spans="1:5" ht="18" customHeight="1">
      <c r="A13" s="11"/>
      <c r="B13" s="12"/>
      <c r="C13" s="13"/>
      <c r="E13" s="10"/>
    </row>
    <row r="14" spans="1:3" s="10" customFormat="1" ht="18" customHeight="1">
      <c r="A14" s="7" t="s">
        <v>13</v>
      </c>
      <c r="B14" s="8" t="str">
        <f>'ORÇ - CONSOLIDADO'!B244</f>
        <v>COBERTURA</v>
      </c>
      <c r="C14" s="9" t="e">
        <f>#REF!</f>
        <v>#REF!</v>
      </c>
    </row>
    <row r="15" spans="1:5" ht="18" customHeight="1">
      <c r="A15" s="11"/>
      <c r="B15" s="12"/>
      <c r="C15" s="13"/>
      <c r="E15" s="10"/>
    </row>
    <row r="16" spans="1:3" s="10" customFormat="1" ht="18" customHeight="1">
      <c r="A16" s="7" t="s">
        <v>14</v>
      </c>
      <c r="B16" s="8" t="str">
        <f>'ORÇ - CONSOLIDADO'!B280</f>
        <v>SPDA - SISTEMA DE PÁRA-RAIOS </v>
      </c>
      <c r="C16" s="9" t="e">
        <f>#REF!</f>
        <v>#REF!</v>
      </c>
    </row>
    <row r="17" spans="1:5" ht="18" customHeight="1">
      <c r="A17" s="11"/>
      <c r="B17" s="12"/>
      <c r="C17" s="13"/>
      <c r="E17" s="10"/>
    </row>
    <row r="18" spans="1:3" s="10" customFormat="1" ht="18" customHeight="1">
      <c r="A18" s="7" t="s">
        <v>15</v>
      </c>
      <c r="B18" s="8" t="str">
        <f>'ORÇ - CONSOLIDADO'!B296</f>
        <v>INSTALAÇÕES ELÉTRICAS</v>
      </c>
      <c r="C18" s="9" t="e">
        <f>#REF!</f>
        <v>#REF!</v>
      </c>
    </row>
    <row r="19" spans="1:5" ht="18" customHeight="1">
      <c r="A19" s="11"/>
      <c r="B19" s="12"/>
      <c r="C19" s="13"/>
      <c r="E19" s="10"/>
    </row>
    <row r="20" spans="1:3" s="10" customFormat="1" ht="18" customHeight="1">
      <c r="A20" s="7" t="s">
        <v>16</v>
      </c>
      <c r="B20" s="8" t="str">
        <f>'ORÇ - CONSOLIDADO'!B396</f>
        <v>INSTALAÇÕES HIDRÁULICAS</v>
      </c>
      <c r="C20" s="9" t="e">
        <f>#REF!</f>
        <v>#REF!</v>
      </c>
    </row>
    <row r="21" spans="1:5" ht="18" customHeight="1">
      <c r="A21" s="11"/>
      <c r="B21" s="12"/>
      <c r="C21" s="13"/>
      <c r="E21" s="10"/>
    </row>
    <row r="22" spans="1:3" s="10" customFormat="1" ht="18" customHeight="1">
      <c r="A22" s="7" t="s">
        <v>17</v>
      </c>
      <c r="B22" s="8" t="str">
        <f>'ORÇ - CONSOLIDADO'!B491</f>
        <v>REVESTIMENTOS PAREDES</v>
      </c>
      <c r="C22" s="9" t="e">
        <f>#REF!</f>
        <v>#REF!</v>
      </c>
    </row>
    <row r="23" spans="1:5" ht="18" customHeight="1">
      <c r="A23" s="11"/>
      <c r="B23" s="12"/>
      <c r="C23" s="13"/>
      <c r="E23" s="10"/>
    </row>
    <row r="24" spans="1:3" s="10" customFormat="1" ht="18" customHeight="1">
      <c r="A24" s="7" t="s">
        <v>19</v>
      </c>
      <c r="B24" s="8" t="str">
        <f>'ORÇ - CONSOLIDADO'!B496</f>
        <v>TETOS</v>
      </c>
      <c r="C24" s="9" t="e">
        <f>#REF!</f>
        <v>#REF!</v>
      </c>
    </row>
    <row r="25" spans="1:5" ht="18" customHeight="1">
      <c r="A25" s="11"/>
      <c r="B25" s="12"/>
      <c r="C25" s="13"/>
      <c r="E25" s="10"/>
    </row>
    <row r="26" spans="1:3" s="10" customFormat="1" ht="18" customHeight="1">
      <c r="A26" s="7" t="s">
        <v>20</v>
      </c>
      <c r="B26" s="8" t="str">
        <f>'ORÇ - CONSOLIDADO'!B502</f>
        <v>PISOS</v>
      </c>
      <c r="C26" s="9" t="e">
        <f>#REF!</f>
        <v>#REF!</v>
      </c>
    </row>
    <row r="27" spans="1:5" ht="18" customHeight="1">
      <c r="A27" s="11"/>
      <c r="B27" s="12"/>
      <c r="C27" s="13"/>
      <c r="E27" s="10"/>
    </row>
    <row r="28" spans="1:3" s="10" customFormat="1" ht="18" customHeight="1">
      <c r="A28" s="7" t="s">
        <v>22</v>
      </c>
      <c r="B28" s="8" t="e">
        <f>'ORÇ - CONSOLIDADO'!#REF!</f>
        <v>#REF!</v>
      </c>
      <c r="C28" s="9" t="e">
        <f>#REF!</f>
        <v>#REF!</v>
      </c>
    </row>
    <row r="29" spans="1:5" ht="18" customHeight="1">
      <c r="A29" s="11"/>
      <c r="B29" s="12"/>
      <c r="C29" s="13"/>
      <c r="E29" s="10"/>
    </row>
    <row r="30" spans="1:3" s="10" customFormat="1" ht="18" customHeight="1">
      <c r="A30" s="7" t="s">
        <v>1</v>
      </c>
      <c r="B30" s="8" t="str">
        <f>'ORÇ - CONSOLIDADO'!B512</f>
        <v>PINTURAS</v>
      </c>
      <c r="C30" s="9" t="e">
        <f>#REF!</f>
        <v>#REF!</v>
      </c>
    </row>
    <row r="31" spans="1:5" ht="18" customHeight="1">
      <c r="A31" s="11"/>
      <c r="B31" s="12"/>
      <c r="C31" s="13"/>
      <c r="E31" s="10"/>
    </row>
    <row r="32" spans="1:3" s="10" customFormat="1" ht="18" customHeight="1">
      <c r="A32" s="7" t="s">
        <v>2</v>
      </c>
      <c r="B32" s="8" t="e">
        <f>'ORÇ - CONSOLIDADO'!#REF!</f>
        <v>#REF!</v>
      </c>
      <c r="C32" s="9" t="e">
        <f>#REF!</f>
        <v>#REF!</v>
      </c>
    </row>
    <row r="33" spans="1:5" ht="18" customHeight="1">
      <c r="A33" s="11"/>
      <c r="B33" s="12"/>
      <c r="C33" s="13"/>
      <c r="E33" s="10"/>
    </row>
    <row r="34" spans="1:3" s="10" customFormat="1" ht="18" customHeight="1">
      <c r="A34" s="7" t="s">
        <v>40</v>
      </c>
      <c r="B34" s="8" t="str">
        <f>'ORÇ - CONSOLIDADO'!B540</f>
        <v>SERVIÇOS ADMINISTRATIVOS</v>
      </c>
      <c r="C34" s="9" t="e">
        <f>#REF!</f>
        <v>#REF!</v>
      </c>
    </row>
    <row r="35" spans="1:3" s="10" customFormat="1" ht="18" customHeight="1">
      <c r="A35" s="14"/>
      <c r="B35" s="15"/>
      <c r="C35" s="16"/>
    </row>
    <row r="36" spans="1:3" ht="18" customHeight="1">
      <c r="A36" s="17"/>
      <c r="B36" s="18" t="s">
        <v>28</v>
      </c>
      <c r="C36" s="19" t="e">
        <f>SUM(C6:C35)</f>
        <v>#REF!</v>
      </c>
    </row>
    <row r="37" spans="1:3" ht="7.5" customHeight="1">
      <c r="A37" s="20"/>
      <c r="B37" s="21"/>
      <c r="C37" s="22"/>
    </row>
    <row r="38" spans="1:3" ht="18" customHeight="1">
      <c r="A38" s="17"/>
      <c r="B38" s="18" t="s">
        <v>29</v>
      </c>
      <c r="C38" s="19" t="e">
        <f>C36*0.25</f>
        <v>#REF!</v>
      </c>
    </row>
    <row r="39" spans="1:3" ht="7.5" customHeight="1">
      <c r="A39" s="20"/>
      <c r="B39" s="21"/>
      <c r="C39" s="22"/>
    </row>
    <row r="40" spans="1:3" ht="28.5" customHeight="1">
      <c r="A40" s="1"/>
      <c r="B40" s="18" t="s">
        <v>30</v>
      </c>
      <c r="C40" s="23" t="e">
        <f>C36+C38</f>
        <v>#REF!</v>
      </c>
    </row>
    <row r="41" ht="19.5" customHeight="1"/>
    <row r="42" ht="32.25" customHeight="1"/>
    <row r="46" ht="19.5" customHeight="1"/>
    <row r="47" ht="32.25" customHeight="1"/>
  </sheetData>
  <sheetProtection/>
  <mergeCells count="3">
    <mergeCell ref="A4:A5"/>
    <mergeCell ref="B4:B5"/>
    <mergeCell ref="C4:C5"/>
  </mergeCells>
  <printOptions/>
  <pageMargins left="0.5118110236220472" right="0" top="0.7874015748031497" bottom="0" header="0" footer="0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view="pageBreakPreview" zoomScaleSheetLayoutView="100" zoomScalePageLayoutView="0" workbookViewId="0" topLeftCell="A1">
      <selection activeCell="A1" sqref="A1:C3"/>
    </sheetView>
  </sheetViews>
  <sheetFormatPr defaultColWidth="9.140625" defaultRowHeight="12.75"/>
  <cols>
    <col min="1" max="1" width="6.00390625" style="5" customWidth="1"/>
    <col min="2" max="2" width="71.28125" style="2" customWidth="1"/>
    <col min="3" max="3" width="17.7109375" style="3" customWidth="1"/>
    <col min="4" max="16384" width="9.140625" style="4" customWidth="1"/>
  </cols>
  <sheetData>
    <row r="1" spans="1:3" ht="12.75">
      <c r="A1" s="28" t="s">
        <v>34</v>
      </c>
      <c r="B1" s="29"/>
      <c r="C1" s="30"/>
    </row>
    <row r="2" spans="1:3" ht="12.75">
      <c r="A2" s="26" t="str">
        <f>'ORÇ - CONSOLIDADO'!A2</f>
        <v>Elaboração</v>
      </c>
      <c r="B2" s="24"/>
      <c r="C2" s="31"/>
    </row>
    <row r="3" spans="1:3" ht="15.75" customHeight="1" thickBot="1">
      <c r="A3" s="27" t="str">
        <f>'ORÇ - CONSOLIDADO'!A3</f>
        <v>Empreendimento:</v>
      </c>
      <c r="B3" s="25"/>
      <c r="C3" s="32"/>
    </row>
    <row r="4" spans="1:3" s="6" customFormat="1" ht="17.25" customHeight="1">
      <c r="A4" s="281" t="s">
        <v>27</v>
      </c>
      <c r="B4" s="282" t="s">
        <v>6</v>
      </c>
      <c r="C4" s="284" t="s">
        <v>98</v>
      </c>
    </row>
    <row r="5" spans="1:3" s="6" customFormat="1" ht="26.25" customHeight="1">
      <c r="A5" s="281"/>
      <c r="B5" s="283"/>
      <c r="C5" s="285"/>
    </row>
    <row r="6" spans="1:3" s="10" customFormat="1" ht="18" customHeight="1">
      <c r="A6" s="7" t="s">
        <v>33</v>
      </c>
      <c r="B6" s="8" t="str">
        <f>'ORÇ - CONSOLIDADO'!B12</f>
        <v>SERVIÇOS INICIAIS</v>
      </c>
      <c r="C6" s="9" t="e">
        <f>#REF!</f>
        <v>#REF!</v>
      </c>
    </row>
    <row r="7" spans="1:5" ht="18" customHeight="1">
      <c r="A7" s="11"/>
      <c r="B7" s="12"/>
      <c r="C7" s="13"/>
      <c r="E7" s="10"/>
    </row>
    <row r="8" spans="1:3" s="10" customFormat="1" ht="18" customHeight="1">
      <c r="A8" s="7" t="s">
        <v>10</v>
      </c>
      <c r="B8" s="8" t="str">
        <f>'ORÇ - CONSOLIDADO'!B158</f>
        <v>ESTRUTURA DE  CONCRETO</v>
      </c>
      <c r="C8" s="9" t="e">
        <f>#REF!</f>
        <v>#REF!</v>
      </c>
    </row>
    <row r="9" spans="1:5" ht="18" customHeight="1">
      <c r="A9" s="11"/>
      <c r="B9" s="12"/>
      <c r="C9" s="13"/>
      <c r="E9" s="10"/>
    </row>
    <row r="10" spans="1:3" s="10" customFormat="1" ht="18" customHeight="1">
      <c r="A10" s="7" t="s">
        <v>11</v>
      </c>
      <c r="B10" s="8" t="str">
        <f>'ORÇ - CONSOLIDADO'!B215</f>
        <v>ALVENARIA E ELEMENTO DIVISOR</v>
      </c>
      <c r="C10" s="9" t="e">
        <f>#REF!</f>
        <v>#REF!</v>
      </c>
    </row>
    <row r="11" spans="1:5" ht="18" customHeight="1">
      <c r="A11" s="11"/>
      <c r="B11" s="12"/>
      <c r="C11" s="13"/>
      <c r="E11" s="10"/>
    </row>
    <row r="12" spans="1:3" s="10" customFormat="1" ht="18" customHeight="1">
      <c r="A12" s="7" t="s">
        <v>12</v>
      </c>
      <c r="B12" s="8" t="str">
        <f>'ORÇ - CONSOLIDADO'!B227</f>
        <v>IMPERMEABILIZAÇÕES</v>
      </c>
      <c r="C12" s="9" t="e">
        <f>#REF!</f>
        <v>#REF!</v>
      </c>
    </row>
    <row r="13" spans="1:5" ht="18" customHeight="1">
      <c r="A13" s="11"/>
      <c r="B13" s="12"/>
      <c r="C13" s="13"/>
      <c r="E13" s="10"/>
    </row>
    <row r="14" spans="1:3" s="10" customFormat="1" ht="18" customHeight="1">
      <c r="A14" s="7" t="s">
        <v>13</v>
      </c>
      <c r="B14" s="8" t="str">
        <f>'ORÇ - CONSOLIDADO'!B244</f>
        <v>COBERTURA</v>
      </c>
      <c r="C14" s="9" t="e">
        <f>#REF!</f>
        <v>#REF!</v>
      </c>
    </row>
    <row r="15" spans="1:5" ht="18" customHeight="1">
      <c r="A15" s="11"/>
      <c r="B15" s="12"/>
      <c r="C15" s="13"/>
      <c r="E15" s="10"/>
    </row>
    <row r="16" spans="1:3" s="10" customFormat="1" ht="18" customHeight="1">
      <c r="A16" s="7" t="s">
        <v>14</v>
      </c>
      <c r="B16" s="8" t="str">
        <f>'ORÇ - CONSOLIDADO'!B280</f>
        <v>SPDA - SISTEMA DE PÁRA-RAIOS </v>
      </c>
      <c r="C16" s="9" t="e">
        <f>#REF!</f>
        <v>#REF!</v>
      </c>
    </row>
    <row r="17" spans="1:5" ht="18" customHeight="1">
      <c r="A17" s="11"/>
      <c r="B17" s="12"/>
      <c r="C17" s="13"/>
      <c r="E17" s="10"/>
    </row>
    <row r="18" spans="1:3" s="10" customFormat="1" ht="18" customHeight="1">
      <c r="A18" s="7" t="s">
        <v>15</v>
      </c>
      <c r="B18" s="8" t="str">
        <f>'ORÇ - CONSOLIDADO'!B296</f>
        <v>INSTALAÇÕES ELÉTRICAS</v>
      </c>
      <c r="C18" s="9" t="e">
        <f>#REF!</f>
        <v>#REF!</v>
      </c>
    </row>
    <row r="19" spans="1:5" ht="18" customHeight="1">
      <c r="A19" s="11"/>
      <c r="B19" s="12"/>
      <c r="C19" s="13"/>
      <c r="E19" s="10"/>
    </row>
    <row r="20" spans="1:3" s="10" customFormat="1" ht="18" customHeight="1">
      <c r="A20" s="7" t="s">
        <v>16</v>
      </c>
      <c r="B20" s="8" t="str">
        <f>'ORÇ - CONSOLIDADO'!B396</f>
        <v>INSTALAÇÕES HIDRÁULICAS</v>
      </c>
      <c r="C20" s="9" t="e">
        <f>#REF!</f>
        <v>#REF!</v>
      </c>
    </row>
    <row r="21" spans="1:5" ht="18" customHeight="1">
      <c r="A21" s="11"/>
      <c r="B21" s="12"/>
      <c r="C21" s="13"/>
      <c r="E21" s="10"/>
    </row>
    <row r="22" spans="1:3" s="10" customFormat="1" ht="18" customHeight="1">
      <c r="A22" s="7" t="s">
        <v>17</v>
      </c>
      <c r="B22" s="8" t="str">
        <f>'ORÇ - CONSOLIDADO'!B491</f>
        <v>REVESTIMENTOS PAREDES</v>
      </c>
      <c r="C22" s="9" t="e">
        <f>#REF!</f>
        <v>#REF!</v>
      </c>
    </row>
    <row r="23" spans="1:5" ht="18" customHeight="1">
      <c r="A23" s="11"/>
      <c r="B23" s="12"/>
      <c r="C23" s="13"/>
      <c r="E23" s="10"/>
    </row>
    <row r="24" spans="1:3" s="10" customFormat="1" ht="18" customHeight="1">
      <c r="A24" s="7" t="s">
        <v>19</v>
      </c>
      <c r="B24" s="8" t="str">
        <f>'ORÇ - CONSOLIDADO'!B496</f>
        <v>TETOS</v>
      </c>
      <c r="C24" s="9" t="e">
        <f>#REF!</f>
        <v>#REF!</v>
      </c>
    </row>
    <row r="25" spans="1:5" ht="18" customHeight="1">
      <c r="A25" s="11"/>
      <c r="B25" s="12"/>
      <c r="C25" s="13"/>
      <c r="E25" s="10"/>
    </row>
    <row r="26" spans="1:3" s="10" customFormat="1" ht="18" customHeight="1">
      <c r="A26" s="7" t="s">
        <v>20</v>
      </c>
      <c r="B26" s="8" t="str">
        <f>'ORÇ - CONSOLIDADO'!B502</f>
        <v>PISOS</v>
      </c>
      <c r="C26" s="9" t="e">
        <f>#REF!</f>
        <v>#REF!</v>
      </c>
    </row>
    <row r="27" spans="1:5" ht="18" customHeight="1">
      <c r="A27" s="11"/>
      <c r="B27" s="12"/>
      <c r="C27" s="13"/>
      <c r="E27" s="10"/>
    </row>
    <row r="28" spans="1:3" s="10" customFormat="1" ht="18" customHeight="1">
      <c r="A28" s="7" t="s">
        <v>22</v>
      </c>
      <c r="B28" s="8" t="e">
        <f>'ORÇ - CONSOLIDADO'!#REF!</f>
        <v>#REF!</v>
      </c>
      <c r="C28" s="9" t="e">
        <f>#REF!</f>
        <v>#REF!</v>
      </c>
    </row>
    <row r="29" spans="1:5" ht="18" customHeight="1">
      <c r="A29" s="11"/>
      <c r="B29" s="12"/>
      <c r="C29" s="13"/>
      <c r="E29" s="10"/>
    </row>
    <row r="30" spans="1:3" s="10" customFormat="1" ht="18" customHeight="1">
      <c r="A30" s="7" t="s">
        <v>1</v>
      </c>
      <c r="B30" s="8" t="str">
        <f>'ORÇ - CONSOLIDADO'!B512</f>
        <v>PINTURAS</v>
      </c>
      <c r="C30" s="9" t="e">
        <f>#REF!</f>
        <v>#REF!</v>
      </c>
    </row>
    <row r="31" spans="1:5" ht="18" customHeight="1">
      <c r="A31" s="11"/>
      <c r="B31" s="12"/>
      <c r="C31" s="13"/>
      <c r="E31" s="10"/>
    </row>
    <row r="32" spans="1:3" s="10" customFormat="1" ht="18" customHeight="1">
      <c r="A32" s="7" t="s">
        <v>2</v>
      </c>
      <c r="B32" s="8" t="e">
        <f>'ORÇ - CONSOLIDADO'!#REF!</f>
        <v>#REF!</v>
      </c>
      <c r="C32" s="9" t="e">
        <f>#REF!</f>
        <v>#REF!</v>
      </c>
    </row>
    <row r="33" spans="1:5" ht="18" customHeight="1">
      <c r="A33" s="11"/>
      <c r="B33" s="12"/>
      <c r="C33" s="13"/>
      <c r="E33" s="10"/>
    </row>
    <row r="34" spans="1:3" s="10" customFormat="1" ht="18" customHeight="1">
      <c r="A34" s="7" t="s">
        <v>40</v>
      </c>
      <c r="B34" s="8" t="str">
        <f>'ORÇ - CONSOLIDADO'!B540</f>
        <v>SERVIÇOS ADMINISTRATIVOS</v>
      </c>
      <c r="C34" s="9" t="e">
        <f>#REF!</f>
        <v>#REF!</v>
      </c>
    </row>
    <row r="35" spans="1:3" s="10" customFormat="1" ht="18" customHeight="1">
      <c r="A35" s="14"/>
      <c r="B35" s="15"/>
      <c r="C35" s="16"/>
    </row>
    <row r="36" spans="1:3" ht="18" customHeight="1">
      <c r="A36" s="17"/>
      <c r="B36" s="18" t="s">
        <v>28</v>
      </c>
      <c r="C36" s="19" t="e">
        <f>SUM(C6:C35)</f>
        <v>#REF!</v>
      </c>
    </row>
    <row r="37" spans="1:3" ht="7.5" customHeight="1">
      <c r="A37" s="20"/>
      <c r="B37" s="21"/>
      <c r="C37" s="22"/>
    </row>
    <row r="38" spans="1:3" ht="18" customHeight="1">
      <c r="A38" s="17"/>
      <c r="B38" s="18" t="s">
        <v>29</v>
      </c>
      <c r="C38" s="19" t="e">
        <f>C36*0.25</f>
        <v>#REF!</v>
      </c>
    </row>
    <row r="39" spans="1:3" ht="7.5" customHeight="1">
      <c r="A39" s="20"/>
      <c r="B39" s="21"/>
      <c r="C39" s="22"/>
    </row>
    <row r="40" spans="1:3" ht="28.5" customHeight="1">
      <c r="A40" s="1"/>
      <c r="B40" s="18" t="s">
        <v>30</v>
      </c>
      <c r="C40" s="23" t="e">
        <f>C36+C38</f>
        <v>#REF!</v>
      </c>
    </row>
    <row r="41" ht="19.5" customHeight="1"/>
    <row r="42" ht="32.25" customHeight="1"/>
    <row r="46" ht="19.5" customHeight="1"/>
    <row r="47" ht="32.25" customHeight="1"/>
  </sheetData>
  <sheetProtection/>
  <mergeCells count="3">
    <mergeCell ref="A4:A5"/>
    <mergeCell ref="B4:B5"/>
    <mergeCell ref="C4:C5"/>
  </mergeCells>
  <printOptions/>
  <pageMargins left="0.5118110236220472" right="0" top="0.7874015748031497" bottom="0" header="0" footer="0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R533"/>
  <sheetViews>
    <sheetView zoomScalePageLayoutView="0" workbookViewId="0" topLeftCell="C238">
      <selection activeCell="E254" sqref="E254"/>
    </sheetView>
  </sheetViews>
  <sheetFormatPr defaultColWidth="9.140625" defaultRowHeight="12.75"/>
  <cols>
    <col min="1" max="1" width="28.57421875" style="0" bestFit="1" customWidth="1"/>
    <col min="2" max="2" width="14.00390625" style="0" bestFit="1" customWidth="1"/>
    <col min="3" max="3" width="10.140625" style="0" bestFit="1" customWidth="1"/>
    <col min="4" max="4" width="66.7109375" style="0" customWidth="1"/>
    <col min="5" max="5" width="15.421875" style="0" bestFit="1" customWidth="1"/>
    <col min="9" max="9" width="11.28125" style="0" bestFit="1" customWidth="1"/>
    <col min="15" max="17" width="9.57421875" style="0" bestFit="1" customWidth="1"/>
  </cols>
  <sheetData>
    <row r="2" spans="6:17" ht="12.75">
      <c r="F2" s="33">
        <v>1</v>
      </c>
      <c r="G2" s="33">
        <f>+F2+1</f>
        <v>2</v>
      </c>
      <c r="H2" s="33">
        <f aca="true" t="shared" si="0" ref="H2:P2">+G2+1</f>
        <v>3</v>
      </c>
      <c r="I2" s="33">
        <f t="shared" si="0"/>
        <v>4</v>
      </c>
      <c r="J2" s="33">
        <f t="shared" si="0"/>
        <v>5</v>
      </c>
      <c r="K2" s="33">
        <f t="shared" si="0"/>
        <v>6</v>
      </c>
      <c r="L2" s="33">
        <f t="shared" si="0"/>
        <v>7</v>
      </c>
      <c r="M2" s="33">
        <f t="shared" si="0"/>
        <v>8</v>
      </c>
      <c r="N2" s="33">
        <f t="shared" si="0"/>
        <v>9</v>
      </c>
      <c r="O2" s="33">
        <f t="shared" si="0"/>
        <v>10</v>
      </c>
      <c r="P2" s="33">
        <f t="shared" si="0"/>
        <v>11</v>
      </c>
      <c r="Q2" s="33">
        <f>+P2+1</f>
        <v>12</v>
      </c>
    </row>
    <row r="4" spans="1:18" ht="15.75">
      <c r="A4" s="59" t="s">
        <v>473</v>
      </c>
      <c r="B4" s="60"/>
      <c r="C4" s="127"/>
      <c r="D4" s="61" t="s">
        <v>277</v>
      </c>
      <c r="E4" s="79">
        <f>+'ORÇ - CONSOLIDADO'!H12</f>
        <v>0</v>
      </c>
      <c r="F4" s="149" t="e">
        <f>SUM(F5:F24)</f>
        <v>#DIV/0!</v>
      </c>
      <c r="G4" s="149" t="e">
        <f aca="true" t="shared" si="1" ref="G4:Q4">SUM(G5:G24)</f>
        <v>#DIV/0!</v>
      </c>
      <c r="H4" s="149" t="e">
        <f t="shared" si="1"/>
        <v>#DIV/0!</v>
      </c>
      <c r="I4" s="149" t="e">
        <f t="shared" si="1"/>
        <v>#DIV/0!</v>
      </c>
      <c r="J4" s="149" t="e">
        <f t="shared" si="1"/>
        <v>#DIV/0!</v>
      </c>
      <c r="K4" s="149" t="e">
        <f t="shared" si="1"/>
        <v>#DIV/0!</v>
      </c>
      <c r="L4" s="149" t="e">
        <f t="shared" si="1"/>
        <v>#DIV/0!</v>
      </c>
      <c r="M4" s="149" t="e">
        <f t="shared" si="1"/>
        <v>#DIV/0!</v>
      </c>
      <c r="N4" s="149" t="e">
        <f t="shared" si="1"/>
        <v>#DIV/0!</v>
      </c>
      <c r="O4" s="149" t="e">
        <f t="shared" si="1"/>
        <v>#DIV/0!</v>
      </c>
      <c r="P4" s="149" t="e">
        <f t="shared" si="1"/>
        <v>#DIV/0!</v>
      </c>
      <c r="Q4" s="149" t="e">
        <f t="shared" si="1"/>
        <v>#DIV/0!</v>
      </c>
      <c r="R4" s="148" t="e">
        <f>SUM(F4:Q4)</f>
        <v>#DIV/0!</v>
      </c>
    </row>
    <row r="5" spans="1:18" ht="15.75">
      <c r="A5" s="50" t="s">
        <v>474</v>
      </c>
      <c r="B5" s="116">
        <v>0</v>
      </c>
      <c r="C5" s="128" t="s">
        <v>31</v>
      </c>
      <c r="D5" s="151" t="e">
        <f>VLOOKUP(C5,#REF!,3,FALSE)</f>
        <v>#REF!</v>
      </c>
      <c r="E5" s="118">
        <f>+'ORÇ - CONSOLIDADO'!H13</f>
        <v>0</v>
      </c>
      <c r="F5" s="149" t="e">
        <f>+$E5/$E$4/12*100</f>
        <v>#DIV/0!</v>
      </c>
      <c r="G5" s="149" t="e">
        <f aca="true" t="shared" si="2" ref="G5:Q5">+$E5/$E$4/12*100</f>
        <v>#DIV/0!</v>
      </c>
      <c r="H5" s="149" t="e">
        <f t="shared" si="2"/>
        <v>#DIV/0!</v>
      </c>
      <c r="I5" s="149" t="e">
        <f t="shared" si="2"/>
        <v>#DIV/0!</v>
      </c>
      <c r="J5" s="149" t="e">
        <f t="shared" si="2"/>
        <v>#DIV/0!</v>
      </c>
      <c r="K5" s="149" t="e">
        <f t="shared" si="2"/>
        <v>#DIV/0!</v>
      </c>
      <c r="L5" s="149" t="e">
        <f t="shared" si="2"/>
        <v>#DIV/0!</v>
      </c>
      <c r="M5" s="149" t="e">
        <f t="shared" si="2"/>
        <v>#DIV/0!</v>
      </c>
      <c r="N5" s="149" t="e">
        <f t="shared" si="2"/>
        <v>#DIV/0!</v>
      </c>
      <c r="O5" s="149" t="e">
        <f t="shared" si="2"/>
        <v>#DIV/0!</v>
      </c>
      <c r="P5" s="149" t="e">
        <f t="shared" si="2"/>
        <v>#DIV/0!</v>
      </c>
      <c r="Q5" s="149" t="e">
        <f t="shared" si="2"/>
        <v>#DIV/0!</v>
      </c>
      <c r="R5" s="148" t="e">
        <f aca="true" t="shared" si="3" ref="R5:R68">SUM(F5:Q5)</f>
        <v>#DIV/0!</v>
      </c>
    </row>
    <row r="6" spans="1:18" ht="15.75">
      <c r="A6" s="52" t="s">
        <v>475</v>
      </c>
      <c r="B6" s="53" t="s">
        <v>253</v>
      </c>
      <c r="C6" s="129" t="s">
        <v>132</v>
      </c>
      <c r="D6" s="53" t="e">
        <f>VLOOKUP(C6,#REF!,3,FALSE)</f>
        <v>#REF!</v>
      </c>
      <c r="E6" s="111">
        <f>+'ORÇ - CONSOLIDADO'!H14</f>
        <v>0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148">
        <f t="shared" si="3"/>
        <v>0</v>
      </c>
    </row>
    <row r="7" spans="1:18" ht="15.75">
      <c r="A7" s="52" t="s">
        <v>476</v>
      </c>
      <c r="B7" s="53" t="s">
        <v>253</v>
      </c>
      <c r="C7" s="129" t="s">
        <v>134</v>
      </c>
      <c r="D7" s="53" t="e">
        <f>VLOOKUP(C7,#REF!,3,FALSE)</f>
        <v>#REF!</v>
      </c>
      <c r="E7" s="111">
        <f>+'ORÇ - CONSOLIDADO'!H15</f>
        <v>0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148">
        <f t="shared" si="3"/>
        <v>0</v>
      </c>
    </row>
    <row r="8" spans="1:18" ht="15.75">
      <c r="A8" s="52" t="s">
        <v>477</v>
      </c>
      <c r="B8" s="53" t="s">
        <v>253</v>
      </c>
      <c r="C8" s="129" t="s">
        <v>136</v>
      </c>
      <c r="D8" s="53" t="e">
        <f>VLOOKUP(C8,#REF!,3,FALSE)</f>
        <v>#REF!</v>
      </c>
      <c r="E8" s="111">
        <f>+'ORÇ - CONSOLIDADO'!H16</f>
        <v>0</v>
      </c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148">
        <f t="shared" si="3"/>
        <v>0</v>
      </c>
    </row>
    <row r="9" spans="1:18" ht="15.75">
      <c r="A9" s="52"/>
      <c r="B9" s="55"/>
      <c r="C9" s="129"/>
      <c r="D9" s="55"/>
      <c r="E9" s="111">
        <f>+'ORÇ - CONSOLIDADO'!H17</f>
        <v>0</v>
      </c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148">
        <f t="shared" si="3"/>
        <v>0</v>
      </c>
    </row>
    <row r="10" spans="1:18" ht="15.75">
      <c r="A10" s="50" t="s">
        <v>478</v>
      </c>
      <c r="B10" s="116"/>
      <c r="C10" s="128"/>
      <c r="D10" s="151" t="s">
        <v>138</v>
      </c>
      <c r="E10" s="118">
        <f>+'ORÇ - CONSOLIDADO'!H18</f>
        <v>0</v>
      </c>
      <c r="F10" s="149" t="e">
        <f>+$E10/$E$4*0.6*100</f>
        <v>#DIV/0!</v>
      </c>
      <c r="G10" s="149" t="e">
        <f>+$E10/$E$4*0.4*100</f>
        <v>#DIV/0!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148" t="e">
        <f t="shared" si="3"/>
        <v>#DIV/0!</v>
      </c>
    </row>
    <row r="11" spans="1:18" ht="15.75">
      <c r="A11" s="56" t="s">
        <v>479</v>
      </c>
      <c r="B11" s="55" t="s">
        <v>253</v>
      </c>
      <c r="C11" s="129" t="s">
        <v>139</v>
      </c>
      <c r="D11" s="53" t="e">
        <f>VLOOKUP(C11,#REF!,3,FALSE)</f>
        <v>#REF!</v>
      </c>
      <c r="E11" s="111">
        <f>+'ORÇ - CONSOLIDADO'!H19</f>
        <v>0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148">
        <f t="shared" si="3"/>
        <v>0</v>
      </c>
    </row>
    <row r="12" spans="1:18" ht="15.75">
      <c r="A12" s="56" t="s">
        <v>480</v>
      </c>
      <c r="B12" s="55" t="s">
        <v>253</v>
      </c>
      <c r="C12" s="129" t="s">
        <v>141</v>
      </c>
      <c r="D12" s="53" t="e">
        <f>VLOOKUP(C12,#REF!,3,FALSE)</f>
        <v>#REF!</v>
      </c>
      <c r="E12" s="111">
        <f>+'ORÇ - CONSOLIDADO'!H20</f>
        <v>0</v>
      </c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148">
        <f t="shared" si="3"/>
        <v>0</v>
      </c>
    </row>
    <row r="13" spans="1:18" ht="15.75">
      <c r="A13" s="56"/>
      <c r="B13" s="55"/>
      <c r="C13" s="129"/>
      <c r="D13" s="55"/>
      <c r="E13" s="111">
        <f>+'ORÇ - CONSOLIDADO'!H21</f>
        <v>0</v>
      </c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148">
        <f t="shared" si="3"/>
        <v>0</v>
      </c>
    </row>
    <row r="14" spans="1:18" ht="15.75">
      <c r="A14" s="50" t="s">
        <v>481</v>
      </c>
      <c r="B14" s="116"/>
      <c r="C14" s="128"/>
      <c r="D14" s="151" t="s">
        <v>143</v>
      </c>
      <c r="E14" s="118">
        <f>+'ORÇ - CONSOLIDADO'!H22</f>
        <v>0</v>
      </c>
      <c r="F14" s="149" t="e">
        <f>+$E14/$E$4/12*100</f>
        <v>#DIV/0!</v>
      </c>
      <c r="G14" s="149" t="e">
        <f aca="true" t="shared" si="4" ref="G14:Q14">+$E14/$E$4/12*100</f>
        <v>#DIV/0!</v>
      </c>
      <c r="H14" s="149" t="e">
        <f t="shared" si="4"/>
        <v>#DIV/0!</v>
      </c>
      <c r="I14" s="149" t="e">
        <f t="shared" si="4"/>
        <v>#DIV/0!</v>
      </c>
      <c r="J14" s="149" t="e">
        <f t="shared" si="4"/>
        <v>#DIV/0!</v>
      </c>
      <c r="K14" s="149" t="e">
        <f t="shared" si="4"/>
        <v>#DIV/0!</v>
      </c>
      <c r="L14" s="149" t="e">
        <f t="shared" si="4"/>
        <v>#DIV/0!</v>
      </c>
      <c r="M14" s="149" t="e">
        <f t="shared" si="4"/>
        <v>#DIV/0!</v>
      </c>
      <c r="N14" s="149" t="e">
        <f t="shared" si="4"/>
        <v>#DIV/0!</v>
      </c>
      <c r="O14" s="149" t="e">
        <f t="shared" si="4"/>
        <v>#DIV/0!</v>
      </c>
      <c r="P14" s="149" t="e">
        <f t="shared" si="4"/>
        <v>#DIV/0!</v>
      </c>
      <c r="Q14" s="149" t="e">
        <f t="shared" si="4"/>
        <v>#DIV/0!</v>
      </c>
      <c r="R14" s="148" t="e">
        <f t="shared" si="3"/>
        <v>#DIV/0!</v>
      </c>
    </row>
    <row r="15" spans="1:18" ht="15.75">
      <c r="A15" s="56" t="s">
        <v>482</v>
      </c>
      <c r="B15" s="55" t="s">
        <v>253</v>
      </c>
      <c r="C15" s="129" t="s">
        <v>78</v>
      </c>
      <c r="D15" s="53" t="e">
        <f>VLOOKUP(C15,#REF!,3,FALSE)</f>
        <v>#REF!</v>
      </c>
      <c r="E15" s="111">
        <f>+'ORÇ - CONSOLIDADO'!H23</f>
        <v>0</v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148">
        <f t="shared" si="3"/>
        <v>0</v>
      </c>
    </row>
    <row r="16" spans="1:18" ht="15.75">
      <c r="A16" s="56" t="s">
        <v>483</v>
      </c>
      <c r="B16" s="55" t="s">
        <v>253</v>
      </c>
      <c r="C16" s="130" t="s">
        <v>144</v>
      </c>
      <c r="D16" s="53" t="e">
        <f>VLOOKUP(C16,#REF!,3,FALSE)</f>
        <v>#REF!</v>
      </c>
      <c r="E16" s="111">
        <f>+'ORÇ - CONSOLIDADO'!H24</f>
        <v>0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148">
        <f t="shared" si="3"/>
        <v>0</v>
      </c>
    </row>
    <row r="17" spans="1:18" ht="15.75">
      <c r="A17" s="56" t="s">
        <v>484</v>
      </c>
      <c r="B17" s="139" t="s">
        <v>1055</v>
      </c>
      <c r="C17" s="185" t="s">
        <v>695</v>
      </c>
      <c r="D17" s="186" t="s">
        <v>278</v>
      </c>
      <c r="E17" s="188">
        <f>+'ORÇ - CONSOLIDADO'!H25</f>
        <v>0</v>
      </c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148">
        <f t="shared" si="3"/>
        <v>0</v>
      </c>
    </row>
    <row r="18" spans="1:18" ht="15.75">
      <c r="A18" s="56" t="s">
        <v>1057</v>
      </c>
      <c r="B18" s="139" t="s">
        <v>1055</v>
      </c>
      <c r="C18" s="185" t="s">
        <v>695</v>
      </c>
      <c r="D18" s="186" t="s">
        <v>1056</v>
      </c>
      <c r="E18" s="188">
        <f>+'ORÇ - CONSOLIDADO'!H26</f>
        <v>0</v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148">
        <f t="shared" si="3"/>
        <v>0</v>
      </c>
    </row>
    <row r="19" spans="1:18" ht="15.75">
      <c r="A19" s="56"/>
      <c r="B19" s="55"/>
      <c r="C19" s="129"/>
      <c r="D19" s="55"/>
      <c r="E19" s="111">
        <f>+'ORÇ - CONSOLIDADO'!H27</f>
        <v>0</v>
      </c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8">
        <f t="shared" si="3"/>
        <v>0</v>
      </c>
    </row>
    <row r="20" spans="1:18" ht="15.75">
      <c r="A20" s="50" t="s">
        <v>485</v>
      </c>
      <c r="B20" s="116"/>
      <c r="C20" s="128"/>
      <c r="D20" s="151" t="s">
        <v>146</v>
      </c>
      <c r="E20" s="118">
        <f>+'ORÇ - CONSOLIDADO'!H28</f>
        <v>0</v>
      </c>
      <c r="F20" s="149"/>
      <c r="G20" s="149" t="e">
        <f>+$E20/$E$4/3*100</f>
        <v>#DIV/0!</v>
      </c>
      <c r="H20" s="149" t="e">
        <f>+$E20/$E$4/3*100</f>
        <v>#DIV/0!</v>
      </c>
      <c r="I20" s="149" t="e">
        <f>+$E20/$E$4/3*100</f>
        <v>#DIV/0!</v>
      </c>
      <c r="J20" s="149"/>
      <c r="K20" s="149"/>
      <c r="L20" s="149"/>
      <c r="M20" s="149"/>
      <c r="N20" s="149"/>
      <c r="O20" s="149"/>
      <c r="P20" s="149"/>
      <c r="Q20" s="149"/>
      <c r="R20" s="148" t="e">
        <f t="shared" si="3"/>
        <v>#DIV/0!</v>
      </c>
    </row>
    <row r="21" spans="1:18" ht="47.25">
      <c r="A21" s="56" t="s">
        <v>486</v>
      </c>
      <c r="B21" s="55" t="s">
        <v>83</v>
      </c>
      <c r="C21" s="129">
        <v>93283</v>
      </c>
      <c r="D21" s="55" t="s">
        <v>101</v>
      </c>
      <c r="E21" s="111">
        <f>+'ORÇ - CONSOLIDADO'!H29</f>
        <v>0</v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148">
        <f t="shared" si="3"/>
        <v>0</v>
      </c>
    </row>
    <row r="22" spans="1:18" ht="15.75">
      <c r="A22" s="56"/>
      <c r="B22" s="55"/>
      <c r="C22" s="129"/>
      <c r="D22" s="55"/>
      <c r="E22" s="111">
        <f>+'ORÇ - CONSOLIDADO'!H30</f>
        <v>0</v>
      </c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148">
        <f t="shared" si="3"/>
        <v>0</v>
      </c>
    </row>
    <row r="23" spans="1:18" ht="15.75">
      <c r="A23" s="50" t="s">
        <v>487</v>
      </c>
      <c r="B23" s="116"/>
      <c r="C23" s="131" t="s">
        <v>147</v>
      </c>
      <c r="D23" s="151" t="s">
        <v>148</v>
      </c>
      <c r="E23" s="118">
        <f>+'ORÇ - CONSOLIDADO'!H31</f>
        <v>0</v>
      </c>
      <c r="F23" s="149" t="e">
        <f>+E23/E4*100</f>
        <v>#DIV/0!</v>
      </c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148" t="e">
        <f t="shared" si="3"/>
        <v>#DIV/0!</v>
      </c>
    </row>
    <row r="24" spans="1:18" ht="15.75">
      <c r="A24" s="57" t="s">
        <v>488</v>
      </c>
      <c r="B24" s="51" t="s">
        <v>253</v>
      </c>
      <c r="C24" s="130" t="s">
        <v>64</v>
      </c>
      <c r="D24" s="53" t="e">
        <f>VLOOKUP(C24,#REF!,3,FALSE)</f>
        <v>#REF!</v>
      </c>
      <c r="E24" s="111">
        <f>+'ORÇ - CONSOLIDADO'!H32</f>
        <v>0</v>
      </c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148">
        <f t="shared" si="3"/>
        <v>0</v>
      </c>
    </row>
    <row r="25" spans="1:18" ht="15.75">
      <c r="A25" s="52"/>
      <c r="B25" s="55"/>
      <c r="C25" s="129"/>
      <c r="D25" s="55"/>
      <c r="E25" s="111">
        <f>+'ORÇ - CONSOLIDADO'!H33</f>
        <v>0</v>
      </c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148">
        <f t="shared" si="3"/>
        <v>0</v>
      </c>
    </row>
    <row r="26" spans="1:18" ht="15.75">
      <c r="A26" s="59" t="s">
        <v>489</v>
      </c>
      <c r="B26" s="60"/>
      <c r="C26" s="127"/>
      <c r="D26" s="60" t="s">
        <v>1011</v>
      </c>
      <c r="E26" s="112">
        <f>+'ORÇ - CONSOLIDADO'!H34</f>
        <v>0</v>
      </c>
      <c r="F26" s="149" t="e">
        <f>+F27</f>
        <v>#DIV/0!</v>
      </c>
      <c r="G26" s="149" t="e">
        <f aca="true" t="shared" si="5" ref="G26:Q26">+G27</f>
        <v>#DIV/0!</v>
      </c>
      <c r="H26" s="149" t="e">
        <f t="shared" si="5"/>
        <v>#DIV/0!</v>
      </c>
      <c r="I26" s="149" t="e">
        <f t="shared" si="5"/>
        <v>#DIV/0!</v>
      </c>
      <c r="J26" s="149" t="e">
        <f t="shared" si="5"/>
        <v>#DIV/0!</v>
      </c>
      <c r="K26" s="149" t="e">
        <f t="shared" si="5"/>
        <v>#DIV/0!</v>
      </c>
      <c r="L26" s="149" t="e">
        <f t="shared" si="5"/>
        <v>#DIV/0!</v>
      </c>
      <c r="M26" s="149" t="e">
        <f t="shared" si="5"/>
        <v>#DIV/0!</v>
      </c>
      <c r="N26" s="149">
        <f t="shared" si="5"/>
        <v>0</v>
      </c>
      <c r="O26" s="149">
        <f t="shared" si="5"/>
        <v>0</v>
      </c>
      <c r="P26" s="149">
        <f t="shared" si="5"/>
        <v>0</v>
      </c>
      <c r="Q26" s="149">
        <f t="shared" si="5"/>
        <v>0</v>
      </c>
      <c r="R26" s="148" t="e">
        <f t="shared" si="3"/>
        <v>#DIV/0!</v>
      </c>
    </row>
    <row r="27" spans="1:18" ht="15.75">
      <c r="A27" s="50" t="s">
        <v>490</v>
      </c>
      <c r="B27" s="116">
        <v>0</v>
      </c>
      <c r="C27" s="128">
        <v>0</v>
      </c>
      <c r="D27" s="117" t="s">
        <v>913</v>
      </c>
      <c r="E27" s="118">
        <f>+'ORÇ - CONSOLIDADO'!H35</f>
        <v>0</v>
      </c>
      <c r="F27" s="149" t="e">
        <f>+$E27/$E$26/8*100</f>
        <v>#DIV/0!</v>
      </c>
      <c r="G27" s="149" t="e">
        <f aca="true" t="shared" si="6" ref="G27:M27">+$E27/$E$26/8*100</f>
        <v>#DIV/0!</v>
      </c>
      <c r="H27" s="149" t="e">
        <f t="shared" si="6"/>
        <v>#DIV/0!</v>
      </c>
      <c r="I27" s="149" t="e">
        <f t="shared" si="6"/>
        <v>#DIV/0!</v>
      </c>
      <c r="J27" s="149" t="e">
        <f t="shared" si="6"/>
        <v>#DIV/0!</v>
      </c>
      <c r="K27" s="149" t="e">
        <f t="shared" si="6"/>
        <v>#DIV/0!</v>
      </c>
      <c r="L27" s="149" t="e">
        <f t="shared" si="6"/>
        <v>#DIV/0!</v>
      </c>
      <c r="M27" s="149" t="e">
        <f t="shared" si="6"/>
        <v>#DIV/0!</v>
      </c>
      <c r="N27" s="149"/>
      <c r="O27" s="149"/>
      <c r="P27" s="149"/>
      <c r="Q27" s="149"/>
      <c r="R27" s="148" t="e">
        <f t="shared" si="3"/>
        <v>#DIV/0!</v>
      </c>
    </row>
    <row r="28" spans="1:18" ht="15.75">
      <c r="A28" s="62" t="s">
        <v>491</v>
      </c>
      <c r="B28" s="55" t="s">
        <v>253</v>
      </c>
      <c r="C28" s="129" t="s">
        <v>914</v>
      </c>
      <c r="D28" s="53" t="e">
        <f>VLOOKUP(C28,#REF!,3,FALSE)</f>
        <v>#REF!</v>
      </c>
      <c r="E28" s="111">
        <f>+'ORÇ - CONSOLIDADO'!H36</f>
        <v>0</v>
      </c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148">
        <f t="shared" si="3"/>
        <v>0</v>
      </c>
    </row>
    <row r="29" spans="1:18" ht="15.75">
      <c r="A29" s="62" t="s">
        <v>492</v>
      </c>
      <c r="B29" s="55" t="s">
        <v>253</v>
      </c>
      <c r="C29" s="129" t="s">
        <v>627</v>
      </c>
      <c r="D29" s="53" t="e">
        <f>VLOOKUP(C29,#REF!,3,FALSE)</f>
        <v>#REF!</v>
      </c>
      <c r="E29" s="111">
        <f>+'ORÇ - CONSOLIDADO'!H37</f>
        <v>0</v>
      </c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148">
        <f t="shared" si="3"/>
        <v>0</v>
      </c>
    </row>
    <row r="30" spans="1:18" ht="15.75">
      <c r="A30" s="52"/>
      <c r="B30" s="55"/>
      <c r="C30" s="129"/>
      <c r="D30" s="55"/>
      <c r="E30" s="111">
        <f>+'ORÇ - CONSOLIDADO'!H38</f>
        <v>0</v>
      </c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8">
        <f aca="true" t="shared" si="7" ref="R30:R57">SUM(F30:Q30)</f>
        <v>0</v>
      </c>
    </row>
    <row r="31" spans="1:18" ht="15.75">
      <c r="A31" s="59" t="s">
        <v>493</v>
      </c>
      <c r="B31" s="60">
        <v>0</v>
      </c>
      <c r="C31" s="127">
        <v>0</v>
      </c>
      <c r="D31" s="60" t="s">
        <v>268</v>
      </c>
      <c r="E31" s="112">
        <f>+'ORÇ - CONSOLIDADO'!H39</f>
        <v>0</v>
      </c>
      <c r="F31" s="149" t="e">
        <f>SUM(F32:F80)</f>
        <v>#DIV/0!</v>
      </c>
      <c r="G31" s="149" t="e">
        <f aca="true" t="shared" si="8" ref="G31:Q31">SUM(G32:G80)</f>
        <v>#DIV/0!</v>
      </c>
      <c r="H31" s="149" t="e">
        <f>SUM(H32:H80)</f>
        <v>#DIV/0!</v>
      </c>
      <c r="I31" s="149" t="e">
        <f t="shared" si="8"/>
        <v>#DIV/0!</v>
      </c>
      <c r="J31" s="149" t="e">
        <f t="shared" si="8"/>
        <v>#DIV/0!</v>
      </c>
      <c r="K31" s="149" t="e">
        <f t="shared" si="8"/>
        <v>#DIV/0!</v>
      </c>
      <c r="L31" s="149" t="e">
        <f t="shared" si="8"/>
        <v>#DIV/0!</v>
      </c>
      <c r="M31" s="149" t="e">
        <f t="shared" si="8"/>
        <v>#DIV/0!</v>
      </c>
      <c r="N31" s="149" t="e">
        <f t="shared" si="8"/>
        <v>#DIV/0!</v>
      </c>
      <c r="O31" s="149" t="e">
        <f t="shared" si="8"/>
        <v>#DIV/0!</v>
      </c>
      <c r="P31" s="149" t="e">
        <f t="shared" si="8"/>
        <v>#DIV/0!</v>
      </c>
      <c r="Q31" s="149" t="e">
        <f t="shared" si="8"/>
        <v>#DIV/0!</v>
      </c>
      <c r="R31" s="148" t="e">
        <f t="shared" si="7"/>
        <v>#DIV/0!</v>
      </c>
    </row>
    <row r="32" spans="1:18" ht="31.5">
      <c r="A32" s="50" t="s">
        <v>494</v>
      </c>
      <c r="B32" s="116">
        <v>0</v>
      </c>
      <c r="C32" s="128" t="s">
        <v>158</v>
      </c>
      <c r="D32" s="151" t="s">
        <v>289</v>
      </c>
      <c r="E32" s="118">
        <f>+'ORÇ - CONSOLIDADO'!H40</f>
        <v>0</v>
      </c>
      <c r="F32" s="149" t="e">
        <f>+$E32/$E$31/8*100</f>
        <v>#DIV/0!</v>
      </c>
      <c r="G32" s="149" t="e">
        <f aca="true" t="shared" si="9" ref="G32:M32">+$E32/$E$31/8*100</f>
        <v>#DIV/0!</v>
      </c>
      <c r="H32" s="149" t="e">
        <f t="shared" si="9"/>
        <v>#DIV/0!</v>
      </c>
      <c r="I32" s="149" t="e">
        <f t="shared" si="9"/>
        <v>#DIV/0!</v>
      </c>
      <c r="J32" s="149" t="e">
        <f t="shared" si="9"/>
        <v>#DIV/0!</v>
      </c>
      <c r="K32" s="149" t="e">
        <f t="shared" si="9"/>
        <v>#DIV/0!</v>
      </c>
      <c r="L32" s="149" t="e">
        <f t="shared" si="9"/>
        <v>#DIV/0!</v>
      </c>
      <c r="M32" s="149" t="e">
        <f t="shared" si="9"/>
        <v>#DIV/0!</v>
      </c>
      <c r="N32" s="149"/>
      <c r="O32" s="149"/>
      <c r="P32" s="149"/>
      <c r="Q32" s="149"/>
      <c r="R32" s="148" t="e">
        <f t="shared" si="7"/>
        <v>#DIV/0!</v>
      </c>
    </row>
    <row r="33" spans="1:18" ht="15.75">
      <c r="A33" s="56" t="s">
        <v>495</v>
      </c>
      <c r="B33" s="55" t="s">
        <v>253</v>
      </c>
      <c r="C33" s="129" t="s">
        <v>159</v>
      </c>
      <c r="D33" s="53" t="e">
        <f>VLOOKUP(C33,#REF!,3,FALSE)</f>
        <v>#REF!</v>
      </c>
      <c r="E33" s="111">
        <f>+'ORÇ - CONSOLIDADO'!H41</f>
        <v>0</v>
      </c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148">
        <f t="shared" si="7"/>
        <v>0</v>
      </c>
    </row>
    <row r="34" spans="1:18" ht="15.75">
      <c r="A34" s="56" t="s">
        <v>496</v>
      </c>
      <c r="B34" s="55" t="s">
        <v>253</v>
      </c>
      <c r="C34" s="129" t="s">
        <v>161</v>
      </c>
      <c r="D34" s="53" t="e">
        <f>VLOOKUP(C34,#REF!,3,FALSE)</f>
        <v>#REF!</v>
      </c>
      <c r="E34" s="111">
        <f>+'ORÇ - CONSOLIDADO'!H42</f>
        <v>0</v>
      </c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148">
        <f t="shared" si="7"/>
        <v>0</v>
      </c>
    </row>
    <row r="35" spans="1:18" ht="15.75">
      <c r="A35" s="56" t="s">
        <v>497</v>
      </c>
      <c r="B35" s="55" t="s">
        <v>253</v>
      </c>
      <c r="C35" s="129" t="s">
        <v>163</v>
      </c>
      <c r="D35" s="53" t="e">
        <f>VLOOKUP(C35,#REF!,3,FALSE)</f>
        <v>#REF!</v>
      </c>
      <c r="E35" s="111">
        <f>+'ORÇ - CONSOLIDADO'!H43</f>
        <v>0</v>
      </c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148">
        <f t="shared" si="7"/>
        <v>0</v>
      </c>
    </row>
    <row r="36" spans="1:18" ht="15.75">
      <c r="A36" s="56"/>
      <c r="B36" s="55"/>
      <c r="C36" s="129"/>
      <c r="D36" s="55"/>
      <c r="E36" s="111">
        <f>+'ORÇ - CONSOLIDADO'!H44</f>
        <v>0</v>
      </c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8">
        <f t="shared" si="7"/>
        <v>0</v>
      </c>
    </row>
    <row r="37" spans="1:18" ht="15.75">
      <c r="A37" s="50" t="s">
        <v>498</v>
      </c>
      <c r="B37" s="116">
        <v>0</v>
      </c>
      <c r="C37" s="128" t="s">
        <v>32</v>
      </c>
      <c r="D37" s="151" t="e">
        <f>VLOOKUP(C37,#REF!,3,FALSE)</f>
        <v>#REF!</v>
      </c>
      <c r="E37" s="118">
        <f>+'ORÇ - CONSOLIDADO'!H45</f>
        <v>0</v>
      </c>
      <c r="F37" s="149" t="e">
        <f>+$E37/$E$31/8*100</f>
        <v>#DIV/0!</v>
      </c>
      <c r="G37" s="149" t="e">
        <f aca="true" t="shared" si="10" ref="G37:M37">+$E37/$E$31/8*100</f>
        <v>#DIV/0!</v>
      </c>
      <c r="H37" s="149" t="e">
        <f t="shared" si="10"/>
        <v>#DIV/0!</v>
      </c>
      <c r="I37" s="149" t="e">
        <f t="shared" si="10"/>
        <v>#DIV/0!</v>
      </c>
      <c r="J37" s="149" t="e">
        <f t="shared" si="10"/>
        <v>#DIV/0!</v>
      </c>
      <c r="K37" s="149" t="e">
        <f t="shared" si="10"/>
        <v>#DIV/0!</v>
      </c>
      <c r="L37" s="149" t="e">
        <f t="shared" si="10"/>
        <v>#DIV/0!</v>
      </c>
      <c r="M37" s="149" t="e">
        <f t="shared" si="10"/>
        <v>#DIV/0!</v>
      </c>
      <c r="N37" s="149"/>
      <c r="O37" s="149"/>
      <c r="P37" s="149"/>
      <c r="Q37" s="149"/>
      <c r="R37" s="148" t="e">
        <f t="shared" si="7"/>
        <v>#DIV/0!</v>
      </c>
    </row>
    <row r="38" spans="1:18" ht="15.75">
      <c r="A38" s="57" t="s">
        <v>499</v>
      </c>
      <c r="B38" s="51" t="s">
        <v>253</v>
      </c>
      <c r="C38" s="130" t="s">
        <v>150</v>
      </c>
      <c r="D38" s="53" t="e">
        <f>VLOOKUP(C38,#REF!,3,FALSE)</f>
        <v>#REF!</v>
      </c>
      <c r="E38" s="111">
        <f>+'ORÇ - CONSOLIDADO'!H46</f>
        <v>0</v>
      </c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148">
        <f t="shared" si="7"/>
        <v>0</v>
      </c>
    </row>
    <row r="39" spans="1:18" ht="15.75">
      <c r="A39" s="57" t="s">
        <v>500</v>
      </c>
      <c r="B39" s="51" t="s">
        <v>253</v>
      </c>
      <c r="C39" s="130" t="s">
        <v>152</v>
      </c>
      <c r="D39" s="53" t="e">
        <f>VLOOKUP(C39,#REF!,3,FALSE)</f>
        <v>#REF!</v>
      </c>
      <c r="E39" s="111">
        <f>+'ORÇ - CONSOLIDADO'!H47</f>
        <v>0</v>
      </c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148">
        <f t="shared" si="7"/>
        <v>0</v>
      </c>
    </row>
    <row r="40" spans="1:18" ht="15.75">
      <c r="A40" s="56"/>
      <c r="B40" s="55"/>
      <c r="C40" s="129"/>
      <c r="D40" s="55"/>
      <c r="E40" s="111">
        <f>+'ORÇ - CONSOLIDADO'!H52</f>
        <v>0</v>
      </c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8">
        <f t="shared" si="7"/>
        <v>0</v>
      </c>
    </row>
    <row r="41" spans="1:18" ht="15.75">
      <c r="A41" s="50" t="s">
        <v>501</v>
      </c>
      <c r="B41" s="116"/>
      <c r="C41" s="128" t="s">
        <v>154</v>
      </c>
      <c r="D41" s="151" t="e">
        <f>VLOOKUP(C41,#REF!,3,FALSE)</f>
        <v>#REF!</v>
      </c>
      <c r="E41" s="118">
        <f>+'ORÇ - CONSOLIDADO'!H53</f>
        <v>0</v>
      </c>
      <c r="F41" s="149" t="e">
        <f>+$E41/$E$31/6*100</f>
        <v>#DIV/0!</v>
      </c>
      <c r="G41" s="149" t="e">
        <f>+$E41/$E$31/6*100</f>
        <v>#DIV/0!</v>
      </c>
      <c r="H41" s="149" t="e">
        <f>+$E41/$E$31/6*100</f>
        <v>#DIV/0!</v>
      </c>
      <c r="I41" s="149"/>
      <c r="J41" s="149"/>
      <c r="K41" s="149" t="e">
        <f>+$E41/$E$31/6*100</f>
        <v>#DIV/0!</v>
      </c>
      <c r="L41" s="149" t="e">
        <f>+$E41/$E$31/6*100</f>
        <v>#DIV/0!</v>
      </c>
      <c r="M41" s="149" t="e">
        <f>+$E41/$E$31/6*100</f>
        <v>#DIV/0!</v>
      </c>
      <c r="N41" s="149"/>
      <c r="O41" s="149"/>
      <c r="P41" s="149"/>
      <c r="Q41" s="149"/>
      <c r="R41" s="148" t="e">
        <f t="shared" si="7"/>
        <v>#DIV/0!</v>
      </c>
    </row>
    <row r="42" spans="1:18" ht="15.75">
      <c r="A42" s="57" t="s">
        <v>502</v>
      </c>
      <c r="B42" s="51" t="s">
        <v>253</v>
      </c>
      <c r="C42" s="130" t="s">
        <v>156</v>
      </c>
      <c r="D42" s="53" t="e">
        <f>VLOOKUP(C42,#REF!,3,FALSE)</f>
        <v>#REF!</v>
      </c>
      <c r="E42" s="111">
        <f>+'ORÇ - CONSOLIDADO'!H54</f>
        <v>0</v>
      </c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148">
        <f t="shared" si="7"/>
        <v>0</v>
      </c>
    </row>
    <row r="43" spans="1:18" ht="15.75">
      <c r="A43" s="57" t="s">
        <v>502</v>
      </c>
      <c r="B43" s="51" t="s">
        <v>390</v>
      </c>
      <c r="C43" s="130">
        <v>22441</v>
      </c>
      <c r="D43" s="53" t="e">
        <f>VLOOKUP(C43,#REF!,3,FALSE)</f>
        <v>#REF!</v>
      </c>
      <c r="E43" s="111">
        <f>+'ORÇ - CONSOLIDADO'!H55</f>
        <v>0</v>
      </c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8">
        <f t="shared" si="7"/>
        <v>0</v>
      </c>
    </row>
    <row r="44" spans="1:18" ht="15.75">
      <c r="A44" s="56"/>
      <c r="B44" s="55"/>
      <c r="C44" s="129"/>
      <c r="D44" s="55"/>
      <c r="E44" s="111">
        <f>+'ORÇ - CONSOLIDADO'!H56</f>
        <v>0</v>
      </c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148">
        <f t="shared" si="7"/>
        <v>0</v>
      </c>
    </row>
    <row r="45" spans="1:18" ht="15.75">
      <c r="A45" s="50" t="s">
        <v>503</v>
      </c>
      <c r="B45" s="116"/>
      <c r="C45" s="128" t="s">
        <v>290</v>
      </c>
      <c r="D45" s="151" t="e">
        <f>VLOOKUP(C45,#REF!,3,FALSE)</f>
        <v>#REF!</v>
      </c>
      <c r="E45" s="118">
        <f>+'ORÇ - CONSOLIDADO'!H57</f>
        <v>0</v>
      </c>
      <c r="F45" s="149" t="e">
        <f>+$E45/$E$31/6*100</f>
        <v>#DIV/0!</v>
      </c>
      <c r="G45" s="149" t="e">
        <f>+$E45/$E$31/6*100</f>
        <v>#DIV/0!</v>
      </c>
      <c r="H45" s="149" t="e">
        <f>+$E45/$E$31/6*100</f>
        <v>#DIV/0!</v>
      </c>
      <c r="I45" s="149"/>
      <c r="J45" s="149"/>
      <c r="K45" s="149" t="e">
        <f>+$E45/$E$31/6*100</f>
        <v>#DIV/0!</v>
      </c>
      <c r="L45" s="149" t="e">
        <f>+$E45/$E$31/6*100</f>
        <v>#DIV/0!</v>
      </c>
      <c r="M45" s="149" t="e">
        <f>+$E45/$E$31/6*100</f>
        <v>#DIV/0!</v>
      </c>
      <c r="N45" s="149"/>
      <c r="O45" s="149"/>
      <c r="P45" s="149"/>
      <c r="Q45" s="149"/>
      <c r="R45" s="148" t="e">
        <f t="shared" si="7"/>
        <v>#DIV/0!</v>
      </c>
    </row>
    <row r="46" spans="1:18" ht="15.75">
      <c r="A46" s="56" t="s">
        <v>504</v>
      </c>
      <c r="B46" s="55" t="s">
        <v>253</v>
      </c>
      <c r="C46" s="184" t="s">
        <v>625</v>
      </c>
      <c r="D46" s="53" t="e">
        <f>VLOOKUP(C46,#REF!,3,FALSE)</f>
        <v>#REF!</v>
      </c>
      <c r="E46" s="111">
        <f>+'ORÇ - CONSOLIDADO'!H58</f>
        <v>0</v>
      </c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148">
        <f t="shared" si="7"/>
        <v>0</v>
      </c>
    </row>
    <row r="47" spans="1:18" ht="15.75">
      <c r="A47" s="56" t="s">
        <v>505</v>
      </c>
      <c r="B47" s="55" t="s">
        <v>253</v>
      </c>
      <c r="C47" s="132" t="s">
        <v>179</v>
      </c>
      <c r="D47" s="53" t="e">
        <f>VLOOKUP(C47,#REF!,3,FALSE)</f>
        <v>#REF!</v>
      </c>
      <c r="E47" s="111">
        <f>+'ORÇ - CONSOLIDADO'!H59</f>
        <v>0</v>
      </c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8">
        <f t="shared" si="7"/>
        <v>0</v>
      </c>
    </row>
    <row r="48" spans="1:18" ht="15.75">
      <c r="A48" s="56"/>
      <c r="B48" s="55"/>
      <c r="C48" s="129"/>
      <c r="D48" s="55"/>
      <c r="E48" s="111">
        <f>+'ORÇ - CONSOLIDADO'!H60</f>
        <v>0</v>
      </c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148">
        <f t="shared" si="7"/>
        <v>0</v>
      </c>
    </row>
    <row r="49" spans="1:18" ht="15.75">
      <c r="A49" s="50" t="s">
        <v>506</v>
      </c>
      <c r="B49" s="116"/>
      <c r="C49" s="128" t="s">
        <v>175</v>
      </c>
      <c r="D49" s="151" t="e">
        <f>VLOOKUP(C49,#REF!,3,FALSE)</f>
        <v>#REF!</v>
      </c>
      <c r="E49" s="118">
        <f>+'ORÇ - CONSOLIDADO'!H61</f>
        <v>0</v>
      </c>
      <c r="F49" s="149" t="e">
        <f>+$E49/$E$31/6*100</f>
        <v>#DIV/0!</v>
      </c>
      <c r="G49" s="149" t="e">
        <f>+$E49/$E$31/6*100</f>
        <v>#DIV/0!</v>
      </c>
      <c r="H49" s="149" t="e">
        <f>+$E49/$E$31/6*100</f>
        <v>#DIV/0!</v>
      </c>
      <c r="I49" s="149"/>
      <c r="J49" s="149"/>
      <c r="K49" s="149" t="e">
        <f>+$E49/$E$31/6*100</f>
        <v>#DIV/0!</v>
      </c>
      <c r="L49" s="149" t="e">
        <f>+$E49/$E$31/6*100</f>
        <v>#DIV/0!</v>
      </c>
      <c r="M49" s="149" t="e">
        <f>+$E49/$E$31/6*100</f>
        <v>#DIV/0!</v>
      </c>
      <c r="N49" s="149"/>
      <c r="O49" s="149"/>
      <c r="P49" s="149"/>
      <c r="Q49" s="149"/>
      <c r="R49" s="148" t="e">
        <f t="shared" si="7"/>
        <v>#DIV/0!</v>
      </c>
    </row>
    <row r="50" spans="1:18" ht="15.75">
      <c r="A50" s="56" t="s">
        <v>507</v>
      </c>
      <c r="B50" s="55" t="s">
        <v>253</v>
      </c>
      <c r="C50" s="130" t="s">
        <v>177</v>
      </c>
      <c r="D50" s="53" t="e">
        <f>VLOOKUP(C50,#REF!,3,FALSE)</f>
        <v>#REF!</v>
      </c>
      <c r="E50" s="111">
        <f>+'ORÇ - CONSOLIDADO'!H62</f>
        <v>0</v>
      </c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8">
        <f t="shared" si="7"/>
        <v>0</v>
      </c>
    </row>
    <row r="51" spans="1:18" ht="15.75">
      <c r="A51" s="56" t="s">
        <v>628</v>
      </c>
      <c r="B51" s="55" t="s">
        <v>253</v>
      </c>
      <c r="C51" s="132" t="s">
        <v>179</v>
      </c>
      <c r="D51" s="53" t="e">
        <f>VLOOKUP(C51,#REF!,3,FALSE)</f>
        <v>#REF!</v>
      </c>
      <c r="E51" s="111">
        <f>+'ORÇ - CONSOLIDADO'!H63</f>
        <v>0</v>
      </c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148">
        <f t="shared" si="7"/>
        <v>0</v>
      </c>
    </row>
    <row r="52" spans="1:18" ht="15.75">
      <c r="A52" s="56"/>
      <c r="B52" s="55"/>
      <c r="C52" s="129"/>
      <c r="D52" s="55"/>
      <c r="E52" s="111">
        <f>+'ORÇ - CONSOLIDADO'!H64</f>
        <v>0</v>
      </c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148">
        <f t="shared" si="7"/>
        <v>0</v>
      </c>
    </row>
    <row r="53" spans="1:18" ht="15.75">
      <c r="A53" s="50" t="s">
        <v>508</v>
      </c>
      <c r="B53" s="116"/>
      <c r="C53" s="128" t="s">
        <v>175</v>
      </c>
      <c r="D53" s="151" t="e">
        <f>VLOOKUP(C53,#REF!,3,FALSE)</f>
        <v>#REF!</v>
      </c>
      <c r="E53" s="118">
        <f>+'ORÇ - CONSOLIDADO'!H65</f>
        <v>0</v>
      </c>
      <c r="F53" s="149" t="e">
        <f>+$E53/$E$31/6*100</f>
        <v>#DIV/0!</v>
      </c>
      <c r="G53" s="149" t="e">
        <f>+$E53/$E$31/6*100</f>
        <v>#DIV/0!</v>
      </c>
      <c r="H53" s="149" t="e">
        <f>+$E53/$E$31/6*100</f>
        <v>#DIV/0!</v>
      </c>
      <c r="I53" s="149"/>
      <c r="J53" s="149"/>
      <c r="K53" s="149" t="e">
        <f>+$E53/$E$31/6*100</f>
        <v>#DIV/0!</v>
      </c>
      <c r="L53" s="149" t="e">
        <f>+$E53/$E$31/6*100</f>
        <v>#DIV/0!</v>
      </c>
      <c r="M53" s="149" t="e">
        <f>+$E53/$E$31/6*100</f>
        <v>#DIV/0!</v>
      </c>
      <c r="N53" s="149"/>
      <c r="O53" s="149"/>
      <c r="P53" s="149"/>
      <c r="Q53" s="149"/>
      <c r="R53" s="148" t="e">
        <f t="shared" si="7"/>
        <v>#DIV/0!</v>
      </c>
    </row>
    <row r="54" spans="1:18" ht="15.75">
      <c r="A54" s="56" t="s">
        <v>509</v>
      </c>
      <c r="B54" s="55" t="s">
        <v>253</v>
      </c>
      <c r="C54" s="130" t="s">
        <v>626</v>
      </c>
      <c r="D54" s="53" t="e">
        <f>VLOOKUP(C54,#REF!,3,FALSE)</f>
        <v>#REF!</v>
      </c>
      <c r="E54" s="111">
        <f>+'ORÇ - CONSOLIDADO'!H66</f>
        <v>0</v>
      </c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148">
        <f t="shared" si="7"/>
        <v>0</v>
      </c>
    </row>
    <row r="55" spans="1:18" ht="15.75">
      <c r="A55" s="56" t="s">
        <v>510</v>
      </c>
      <c r="B55" s="55" t="s">
        <v>26</v>
      </c>
      <c r="C55" s="132">
        <v>97663</v>
      </c>
      <c r="D55" s="53" t="e">
        <f>VLOOKUP(C55,#REF!,3,FALSE)</f>
        <v>#REF!</v>
      </c>
      <c r="E55" s="111">
        <f>+'ORÇ - CONSOLIDADO'!H67</f>
        <v>0</v>
      </c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148">
        <f t="shared" si="7"/>
        <v>0</v>
      </c>
    </row>
    <row r="56" spans="1:18" ht="15.75">
      <c r="A56" s="56"/>
      <c r="B56" s="55"/>
      <c r="C56" s="129"/>
      <c r="D56" s="55"/>
      <c r="E56" s="111">
        <f>+'ORÇ - CONSOLIDADO'!H68</f>
        <v>0</v>
      </c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8">
        <f t="shared" si="7"/>
        <v>0</v>
      </c>
    </row>
    <row r="57" spans="1:18" ht="15.75">
      <c r="A57" s="50" t="s">
        <v>511</v>
      </c>
      <c r="B57" s="116"/>
      <c r="C57" s="128" t="s">
        <v>181</v>
      </c>
      <c r="D57" s="151" t="e">
        <f>VLOOKUP(C57,#REF!,3,FALSE)</f>
        <v>#REF!</v>
      </c>
      <c r="E57" s="118">
        <f>+'ORÇ - CONSOLIDADO'!H69</f>
        <v>0</v>
      </c>
      <c r="F57" s="149" t="e">
        <f>+$E57/$E$31/8*100</f>
        <v>#DIV/0!</v>
      </c>
      <c r="G57" s="149" t="e">
        <f aca="true" t="shared" si="11" ref="G57:M57">+$E57/$E$31/8*100</f>
        <v>#DIV/0!</v>
      </c>
      <c r="H57" s="149" t="e">
        <f t="shared" si="11"/>
        <v>#DIV/0!</v>
      </c>
      <c r="I57" s="149" t="e">
        <f t="shared" si="11"/>
        <v>#DIV/0!</v>
      </c>
      <c r="J57" s="149" t="e">
        <f t="shared" si="11"/>
        <v>#DIV/0!</v>
      </c>
      <c r="K57" s="149" t="e">
        <f t="shared" si="11"/>
        <v>#DIV/0!</v>
      </c>
      <c r="L57" s="149" t="e">
        <f t="shared" si="11"/>
        <v>#DIV/0!</v>
      </c>
      <c r="M57" s="149" t="e">
        <f t="shared" si="11"/>
        <v>#DIV/0!</v>
      </c>
      <c r="N57" s="149"/>
      <c r="O57" s="149"/>
      <c r="P57" s="149"/>
      <c r="Q57" s="149"/>
      <c r="R57" s="148" t="e">
        <f t="shared" si="7"/>
        <v>#DIV/0!</v>
      </c>
    </row>
    <row r="58" spans="1:18" ht="15.75">
      <c r="A58" s="56" t="s">
        <v>512</v>
      </c>
      <c r="B58" s="55" t="s">
        <v>253</v>
      </c>
      <c r="C58" s="126" t="s">
        <v>171</v>
      </c>
      <c r="D58" s="53" t="e">
        <f>VLOOKUP(C58,#REF!,3,FALSE)</f>
        <v>#REF!</v>
      </c>
      <c r="E58" s="111">
        <f>+'ORÇ - CONSOLIDADO'!H70</f>
        <v>0</v>
      </c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148">
        <f t="shared" si="3"/>
        <v>0</v>
      </c>
    </row>
    <row r="59" spans="1:18" ht="15.75">
      <c r="A59" s="56" t="s">
        <v>514</v>
      </c>
      <c r="B59" s="55" t="s">
        <v>390</v>
      </c>
      <c r="C59" s="126">
        <v>22087</v>
      </c>
      <c r="D59" s="53" t="e">
        <f>VLOOKUP(C59,#REF!,3,FALSE)</f>
        <v>#REF!</v>
      </c>
      <c r="E59" s="111">
        <f>+'ORÇ - CONSOLIDADO'!H71</f>
        <v>0</v>
      </c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148">
        <f t="shared" si="3"/>
        <v>0</v>
      </c>
    </row>
    <row r="60" spans="1:18" ht="15.75">
      <c r="A60" s="56"/>
      <c r="B60" s="55"/>
      <c r="C60" s="129"/>
      <c r="D60" s="55"/>
      <c r="E60" s="111">
        <f>+'ORÇ - CONSOLIDADO'!H72</f>
        <v>0</v>
      </c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148">
        <f t="shared" si="3"/>
        <v>0</v>
      </c>
    </row>
    <row r="61" spans="1:18" ht="15.75">
      <c r="A61" s="50" t="s">
        <v>633</v>
      </c>
      <c r="B61" s="116"/>
      <c r="C61" s="128" t="s">
        <v>292</v>
      </c>
      <c r="D61" s="151" t="e">
        <f>VLOOKUP(C61,#REF!,3,FALSE)</f>
        <v>#REF!</v>
      </c>
      <c r="E61" s="118">
        <f>+'ORÇ - CONSOLIDADO'!H73</f>
        <v>0</v>
      </c>
      <c r="F61" s="149" t="e">
        <f>+$E61/$E$31/6*100</f>
        <v>#DIV/0!</v>
      </c>
      <c r="G61" s="149" t="e">
        <f>+$E61/$E$31/6*100</f>
        <v>#DIV/0!</v>
      </c>
      <c r="H61" s="149" t="e">
        <f>+$E61/$E$31/6*100</f>
        <v>#DIV/0!</v>
      </c>
      <c r="I61" s="149"/>
      <c r="J61" s="149"/>
      <c r="K61" s="149" t="e">
        <f>+$E61/$E$31/6*100</f>
        <v>#DIV/0!</v>
      </c>
      <c r="L61" s="149" t="e">
        <f>+$E61/$E$31/6*100</f>
        <v>#DIV/0!</v>
      </c>
      <c r="M61" s="149" t="e">
        <f>+$E61/$E$31/6*100</f>
        <v>#DIV/0!</v>
      </c>
      <c r="N61" s="149"/>
      <c r="O61" s="149"/>
      <c r="P61" s="149"/>
      <c r="Q61" s="149"/>
      <c r="R61" s="148" t="e">
        <f t="shared" si="3"/>
        <v>#DIV/0!</v>
      </c>
    </row>
    <row r="62" spans="1:18" ht="15.75">
      <c r="A62" s="56" t="s">
        <v>634</v>
      </c>
      <c r="B62" s="55" t="s">
        <v>253</v>
      </c>
      <c r="C62" s="130" t="s">
        <v>173</v>
      </c>
      <c r="D62" s="53" t="e">
        <f>VLOOKUP(C62,#REF!,3,FALSE)</f>
        <v>#REF!</v>
      </c>
      <c r="E62" s="111">
        <f>+'ORÇ - CONSOLIDADO'!H74</f>
        <v>0</v>
      </c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148">
        <f t="shared" si="3"/>
        <v>0</v>
      </c>
    </row>
    <row r="63" spans="1:18" ht="15.75">
      <c r="A63" s="56" t="s">
        <v>635</v>
      </c>
      <c r="B63" s="51" t="s">
        <v>253</v>
      </c>
      <c r="C63" s="130" t="s">
        <v>165</v>
      </c>
      <c r="D63" s="53" t="e">
        <f>VLOOKUP(C63,#REF!,3,FALSE)</f>
        <v>#REF!</v>
      </c>
      <c r="E63" s="111">
        <f>+'ORÇ - CONSOLIDADO'!H75</f>
        <v>0</v>
      </c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148">
        <f t="shared" si="3"/>
        <v>0</v>
      </c>
    </row>
    <row r="64" spans="1:18" ht="15.75">
      <c r="A64" s="56" t="s">
        <v>636</v>
      </c>
      <c r="B64" s="55" t="s">
        <v>253</v>
      </c>
      <c r="C64" s="130" t="s">
        <v>167</v>
      </c>
      <c r="D64" s="53" t="e">
        <f>VLOOKUP(C64,#REF!,3,FALSE)</f>
        <v>#REF!</v>
      </c>
      <c r="E64" s="111">
        <f>+'ORÇ - CONSOLIDADO'!H76</f>
        <v>0</v>
      </c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8">
        <f t="shared" si="3"/>
        <v>0</v>
      </c>
    </row>
    <row r="65" spans="1:18" ht="15.75">
      <c r="A65" s="56" t="s">
        <v>637</v>
      </c>
      <c r="B65" s="55" t="s">
        <v>253</v>
      </c>
      <c r="C65" s="129" t="s">
        <v>169</v>
      </c>
      <c r="D65" s="53" t="e">
        <f>VLOOKUP(C65,#REF!,3,FALSE)</f>
        <v>#REF!</v>
      </c>
      <c r="E65" s="111">
        <f>+'ORÇ - CONSOLIDADO'!H77</f>
        <v>0</v>
      </c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48">
        <f t="shared" si="3"/>
        <v>0</v>
      </c>
    </row>
    <row r="66" spans="1:18" ht="15.75">
      <c r="A66" s="56" t="s">
        <v>638</v>
      </c>
      <c r="B66" s="55" t="s">
        <v>253</v>
      </c>
      <c r="C66" s="129" t="s">
        <v>177</v>
      </c>
      <c r="D66" s="53" t="e">
        <f>VLOOKUP(C66,#REF!,3,FALSE)</f>
        <v>#REF!</v>
      </c>
      <c r="E66" s="111">
        <f>+'ORÇ - CONSOLIDADO'!H78</f>
        <v>0</v>
      </c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148">
        <f t="shared" si="3"/>
        <v>0</v>
      </c>
    </row>
    <row r="67" spans="1:18" ht="15.75">
      <c r="A67" s="56" t="s">
        <v>639</v>
      </c>
      <c r="B67" s="55" t="s">
        <v>253</v>
      </c>
      <c r="C67" s="129" t="s">
        <v>179</v>
      </c>
      <c r="D67" s="53" t="e">
        <f>VLOOKUP(C67,#REF!,3,FALSE)</f>
        <v>#REF!</v>
      </c>
      <c r="E67" s="111">
        <f>+'ORÇ - CONSOLIDADO'!H79</f>
        <v>0</v>
      </c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148">
        <f t="shared" si="3"/>
        <v>0</v>
      </c>
    </row>
    <row r="68" spans="1:18" ht="15.75">
      <c r="A68" s="56" t="s">
        <v>640</v>
      </c>
      <c r="B68" s="55" t="s">
        <v>26</v>
      </c>
      <c r="C68" s="129">
        <v>97661</v>
      </c>
      <c r="D68" s="53" t="e">
        <f>VLOOKUP(C68,#REF!,3,FALSE)</f>
        <v>#REF!</v>
      </c>
      <c r="E68" s="111">
        <f>+'ORÇ - CONSOLIDADO'!H80</f>
        <v>0</v>
      </c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148">
        <f t="shared" si="3"/>
        <v>0</v>
      </c>
    </row>
    <row r="69" spans="1:18" ht="15.75">
      <c r="A69" s="56" t="s">
        <v>641</v>
      </c>
      <c r="B69" s="55" t="s">
        <v>253</v>
      </c>
      <c r="C69" s="129" t="s">
        <v>622</v>
      </c>
      <c r="D69" s="53" t="e">
        <f>VLOOKUP(C69,#REF!,3,FALSE)</f>
        <v>#REF!</v>
      </c>
      <c r="E69" s="111">
        <f>+'ORÇ - CONSOLIDADO'!H81</f>
        <v>0</v>
      </c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148">
        <f aca="true" t="shared" si="12" ref="R69:R132">SUM(F69:Q69)</f>
        <v>0</v>
      </c>
    </row>
    <row r="70" spans="1:18" ht="15.75">
      <c r="A70" s="56" t="s">
        <v>642</v>
      </c>
      <c r="B70" s="55" t="s">
        <v>253</v>
      </c>
      <c r="C70" s="129" t="s">
        <v>623</v>
      </c>
      <c r="D70" s="53" t="e">
        <f>VLOOKUP(C70,#REF!,3,FALSE)</f>
        <v>#REF!</v>
      </c>
      <c r="E70" s="111">
        <f>+'ORÇ - CONSOLIDADO'!H82</f>
        <v>0</v>
      </c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48">
        <f t="shared" si="12"/>
        <v>0</v>
      </c>
    </row>
    <row r="71" spans="1:18" ht="15.75">
      <c r="A71" s="56" t="s">
        <v>643</v>
      </c>
      <c r="B71" s="55" t="s">
        <v>253</v>
      </c>
      <c r="C71" s="129" t="s">
        <v>169</v>
      </c>
      <c r="D71" s="53" t="e">
        <f>VLOOKUP(C71,#REF!,3,FALSE)</f>
        <v>#REF!</v>
      </c>
      <c r="E71" s="111">
        <f>+'ORÇ - CONSOLIDADO'!H83</f>
        <v>0</v>
      </c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148">
        <f t="shared" si="12"/>
        <v>0</v>
      </c>
    </row>
    <row r="72" spans="1:18" ht="15.75">
      <c r="A72" s="56" t="s">
        <v>644</v>
      </c>
      <c r="B72" s="55" t="s">
        <v>253</v>
      </c>
      <c r="C72" s="129" t="s">
        <v>624</v>
      </c>
      <c r="D72" s="53" t="e">
        <f>VLOOKUP(C72,#REF!,3,FALSE)</f>
        <v>#REF!</v>
      </c>
      <c r="E72" s="111">
        <f>+'ORÇ - CONSOLIDADO'!H84</f>
        <v>0</v>
      </c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148">
        <f t="shared" si="12"/>
        <v>0</v>
      </c>
    </row>
    <row r="73" spans="1:18" ht="15.75">
      <c r="A73" s="56"/>
      <c r="B73" s="55"/>
      <c r="C73" s="133"/>
      <c r="D73" s="55"/>
      <c r="E73" s="111">
        <f>+'ORÇ - CONSOLIDADO'!H85</f>
        <v>0</v>
      </c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148">
        <f t="shared" si="12"/>
        <v>0</v>
      </c>
    </row>
    <row r="74" spans="1:18" ht="15.75">
      <c r="A74" s="50" t="s">
        <v>511</v>
      </c>
      <c r="B74" s="116"/>
      <c r="C74" s="128" t="s">
        <v>185</v>
      </c>
      <c r="D74" s="151" t="e">
        <f>VLOOKUP(C74,#REF!,3,FALSE)</f>
        <v>#REF!</v>
      </c>
      <c r="E74" s="118">
        <f>+'ORÇ - CONSOLIDADO'!H86</f>
        <v>0</v>
      </c>
      <c r="F74" s="149" t="e">
        <f>+$E74/$E$31/8*100</f>
        <v>#DIV/0!</v>
      </c>
      <c r="G74" s="149" t="e">
        <f aca="true" t="shared" si="13" ref="G74:M74">+$E74/$E$31/8*100</f>
        <v>#DIV/0!</v>
      </c>
      <c r="H74" s="149" t="e">
        <f t="shared" si="13"/>
        <v>#DIV/0!</v>
      </c>
      <c r="I74" s="149" t="e">
        <f t="shared" si="13"/>
        <v>#DIV/0!</v>
      </c>
      <c r="J74" s="149" t="e">
        <f t="shared" si="13"/>
        <v>#DIV/0!</v>
      </c>
      <c r="K74" s="149" t="e">
        <f t="shared" si="13"/>
        <v>#DIV/0!</v>
      </c>
      <c r="L74" s="149" t="e">
        <f t="shared" si="13"/>
        <v>#DIV/0!</v>
      </c>
      <c r="M74" s="149" t="e">
        <f t="shared" si="13"/>
        <v>#DIV/0!</v>
      </c>
      <c r="N74" s="149"/>
      <c r="O74" s="149"/>
      <c r="P74" s="149"/>
      <c r="Q74" s="149"/>
      <c r="R74" s="148" t="e">
        <f t="shared" si="12"/>
        <v>#DIV/0!</v>
      </c>
    </row>
    <row r="75" spans="1:18" ht="15.75">
      <c r="A75" s="57" t="s">
        <v>512</v>
      </c>
      <c r="B75" s="51" t="s">
        <v>253</v>
      </c>
      <c r="C75" s="132" t="s">
        <v>251</v>
      </c>
      <c r="D75" s="53" t="e">
        <f>VLOOKUP(C75,#REF!,3,FALSE)</f>
        <v>#REF!</v>
      </c>
      <c r="E75" s="113">
        <f>+'ORÇ - CONSOLIDADO'!H87</f>
        <v>0</v>
      </c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48">
        <f t="shared" si="12"/>
        <v>0</v>
      </c>
    </row>
    <row r="76" spans="1:18" ht="15.75">
      <c r="A76" s="57" t="s">
        <v>513</v>
      </c>
      <c r="B76" s="51" t="s">
        <v>253</v>
      </c>
      <c r="C76" s="130" t="s">
        <v>189</v>
      </c>
      <c r="D76" s="53" t="e">
        <f>VLOOKUP(C76,#REF!,3,FALSE)</f>
        <v>#REF!</v>
      </c>
      <c r="E76" s="113">
        <f>+'ORÇ - CONSOLIDADO'!H88</f>
        <v>0</v>
      </c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148">
        <f t="shared" si="12"/>
        <v>0</v>
      </c>
    </row>
    <row r="77" spans="1:18" ht="15.75">
      <c r="A77" s="57" t="s">
        <v>514</v>
      </c>
      <c r="B77" s="51" t="s">
        <v>253</v>
      </c>
      <c r="C77" s="130" t="s">
        <v>191</v>
      </c>
      <c r="D77" s="53" t="e">
        <f>VLOOKUP(C77,#REF!,3,FALSE)</f>
        <v>#REF!</v>
      </c>
      <c r="E77" s="113">
        <f>+'ORÇ - CONSOLIDADO'!H89</f>
        <v>0</v>
      </c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148">
        <f t="shared" si="12"/>
        <v>0</v>
      </c>
    </row>
    <row r="78" spans="1:18" ht="15.75">
      <c r="A78" s="57" t="s">
        <v>515</v>
      </c>
      <c r="B78" s="58" t="s">
        <v>253</v>
      </c>
      <c r="C78" s="133" t="s">
        <v>187</v>
      </c>
      <c r="D78" s="53" t="e">
        <f>VLOOKUP(C78,#REF!,3,FALSE)</f>
        <v>#REF!</v>
      </c>
      <c r="E78" s="113">
        <f>+'ORÇ - CONSOLIDADO'!H90</f>
        <v>0</v>
      </c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148">
        <f t="shared" si="12"/>
        <v>0</v>
      </c>
    </row>
    <row r="79" spans="1:18" ht="15.75">
      <c r="A79" s="57" t="s">
        <v>516</v>
      </c>
      <c r="B79" s="58" t="s">
        <v>253</v>
      </c>
      <c r="C79" s="130" t="s">
        <v>183</v>
      </c>
      <c r="D79" s="53" t="e">
        <f>VLOOKUP(C79,#REF!,3,FALSE)</f>
        <v>#REF!</v>
      </c>
      <c r="E79" s="113">
        <f>+'ORÇ - CONSOLIDADO'!H91</f>
        <v>0</v>
      </c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148">
        <f t="shared" si="12"/>
        <v>0</v>
      </c>
    </row>
    <row r="80" spans="1:18" ht="15.75">
      <c r="A80" s="52"/>
      <c r="B80" s="58">
        <v>0</v>
      </c>
      <c r="C80" s="133">
        <v>0</v>
      </c>
      <c r="D80" s="58"/>
      <c r="E80" s="113">
        <f>+'ORÇ - CONSOLIDADO'!H92</f>
        <v>0</v>
      </c>
      <c r="F80" s="150" t="e">
        <f>+$E80/$E$64/12*100</f>
        <v>#DIV/0!</v>
      </c>
      <c r="G80" s="150" t="e">
        <f aca="true" t="shared" si="14" ref="G80:Q80">+$E80/$E$64/12*100</f>
        <v>#DIV/0!</v>
      </c>
      <c r="H80" s="150" t="e">
        <f t="shared" si="14"/>
        <v>#DIV/0!</v>
      </c>
      <c r="I80" s="150" t="e">
        <f t="shared" si="14"/>
        <v>#DIV/0!</v>
      </c>
      <c r="J80" s="150" t="e">
        <f t="shared" si="14"/>
        <v>#DIV/0!</v>
      </c>
      <c r="K80" s="150" t="e">
        <f t="shared" si="14"/>
        <v>#DIV/0!</v>
      </c>
      <c r="L80" s="150" t="e">
        <f t="shared" si="14"/>
        <v>#DIV/0!</v>
      </c>
      <c r="M80" s="150" t="e">
        <f t="shared" si="14"/>
        <v>#DIV/0!</v>
      </c>
      <c r="N80" s="150" t="e">
        <f t="shared" si="14"/>
        <v>#DIV/0!</v>
      </c>
      <c r="O80" s="150" t="e">
        <f t="shared" si="14"/>
        <v>#DIV/0!</v>
      </c>
      <c r="P80" s="150" t="e">
        <f t="shared" si="14"/>
        <v>#DIV/0!</v>
      </c>
      <c r="Q80" s="150" t="e">
        <f t="shared" si="14"/>
        <v>#DIV/0!</v>
      </c>
      <c r="R80" s="148" t="e">
        <f t="shared" si="12"/>
        <v>#DIV/0!</v>
      </c>
    </row>
    <row r="81" spans="1:18" ht="15.75">
      <c r="A81" s="59" t="s">
        <v>792</v>
      </c>
      <c r="B81" s="60">
        <v>0</v>
      </c>
      <c r="C81" s="127">
        <v>0</v>
      </c>
      <c r="D81" s="60" t="s">
        <v>723</v>
      </c>
      <c r="E81" s="112">
        <f>+'ORÇ - CONSOLIDADO'!H93</f>
        <v>0</v>
      </c>
      <c r="F81" s="34">
        <f>SUM(F82:F146)</f>
        <v>0</v>
      </c>
      <c r="G81" s="34">
        <f aca="true" t="shared" si="15" ref="G81:Q81">SUM(G82:G146)</f>
        <v>0</v>
      </c>
      <c r="H81" s="34" t="e">
        <f t="shared" si="15"/>
        <v>#DIV/0!</v>
      </c>
      <c r="I81" s="34" t="e">
        <f t="shared" si="15"/>
        <v>#DIV/0!</v>
      </c>
      <c r="J81" s="34" t="e">
        <f t="shared" si="15"/>
        <v>#DIV/0!</v>
      </c>
      <c r="K81" s="34" t="e">
        <f t="shared" si="15"/>
        <v>#DIV/0!</v>
      </c>
      <c r="L81" s="34" t="e">
        <f t="shared" si="15"/>
        <v>#DIV/0!</v>
      </c>
      <c r="M81" s="34">
        <f t="shared" si="15"/>
        <v>0</v>
      </c>
      <c r="N81" s="34">
        <f t="shared" si="15"/>
        <v>0</v>
      </c>
      <c r="O81" s="34">
        <f t="shared" si="15"/>
        <v>0</v>
      </c>
      <c r="P81" s="34">
        <f t="shared" si="15"/>
        <v>0</v>
      </c>
      <c r="Q81" s="34">
        <f t="shared" si="15"/>
        <v>0</v>
      </c>
      <c r="R81" s="148" t="e">
        <f t="shared" si="12"/>
        <v>#DIV/0!</v>
      </c>
    </row>
    <row r="82" spans="1:18" ht="15.75">
      <c r="A82" s="50" t="s">
        <v>517</v>
      </c>
      <c r="B82" s="116">
        <v>0</v>
      </c>
      <c r="C82" s="128"/>
      <c r="D82" s="151" t="s">
        <v>773</v>
      </c>
      <c r="E82" s="118">
        <f>+'ORÇ - CONSOLIDADO'!H94</f>
        <v>0</v>
      </c>
      <c r="F82" s="33"/>
      <c r="G82" s="33"/>
      <c r="H82" s="149" t="e">
        <f>+$E82/$E$81/3*100</f>
        <v>#DIV/0!</v>
      </c>
      <c r="I82" s="149" t="e">
        <f>+$E82/$E$81/3*100</f>
        <v>#DIV/0!</v>
      </c>
      <c r="J82" s="149" t="e">
        <f>+$E82/$E$81/3*100</f>
        <v>#DIV/0!</v>
      </c>
      <c r="K82" s="33"/>
      <c r="L82" s="33"/>
      <c r="M82" s="33"/>
      <c r="N82" s="33"/>
      <c r="O82" s="33"/>
      <c r="P82" s="33"/>
      <c r="Q82" s="33"/>
      <c r="R82" s="148" t="e">
        <f t="shared" si="12"/>
        <v>#DIV/0!</v>
      </c>
    </row>
    <row r="83" spans="1:18" ht="15.75">
      <c r="A83" s="52" t="s">
        <v>518</v>
      </c>
      <c r="B83" s="55" t="s">
        <v>253</v>
      </c>
      <c r="C83" s="129" t="s">
        <v>725</v>
      </c>
      <c r="D83" s="53" t="e">
        <f>VLOOKUP(C83,#REF!,3,FALSE)</f>
        <v>#REF!</v>
      </c>
      <c r="E83" s="113">
        <f>+'ORÇ - CONSOLIDADO'!H95</f>
        <v>0</v>
      </c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148">
        <f t="shared" si="12"/>
        <v>0</v>
      </c>
    </row>
    <row r="84" spans="1:18" ht="15.75">
      <c r="A84" s="52" t="s">
        <v>519</v>
      </c>
      <c r="B84" s="58" t="s">
        <v>253</v>
      </c>
      <c r="C84" s="130" t="s">
        <v>724</v>
      </c>
      <c r="D84" s="53" t="e">
        <f>VLOOKUP(C84,#REF!,3,FALSE)</f>
        <v>#REF!</v>
      </c>
      <c r="E84" s="113" t="e">
        <f>+'ORÇ - CONSOLIDADO'!#REF!</f>
        <v>#REF!</v>
      </c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148">
        <f t="shared" si="12"/>
        <v>0</v>
      </c>
    </row>
    <row r="85" spans="1:18" ht="15.75">
      <c r="A85" s="52" t="s">
        <v>520</v>
      </c>
      <c r="B85" s="55" t="s">
        <v>253</v>
      </c>
      <c r="C85" s="129" t="s">
        <v>66</v>
      </c>
      <c r="D85" s="53" t="e">
        <f>VLOOKUP(C85,#REF!,3,FALSE)</f>
        <v>#REF!</v>
      </c>
      <c r="E85" s="113" t="e">
        <f>+'ORÇ - CONSOLIDADO'!#REF!</f>
        <v>#REF!</v>
      </c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148">
        <f t="shared" si="12"/>
        <v>0</v>
      </c>
    </row>
    <row r="86" spans="1:18" ht="15.75">
      <c r="A86" s="52" t="s">
        <v>521</v>
      </c>
      <c r="B86" s="55" t="s">
        <v>253</v>
      </c>
      <c r="C86" s="129" t="s">
        <v>68</v>
      </c>
      <c r="D86" s="53" t="e">
        <f>VLOOKUP(C86,#REF!,3,FALSE)</f>
        <v>#REF!</v>
      </c>
      <c r="E86" s="113">
        <f>+'ORÇ - CONSOLIDADO'!H96</f>
        <v>0</v>
      </c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148">
        <f t="shared" si="12"/>
        <v>0</v>
      </c>
    </row>
    <row r="87" spans="1:18" ht="15.75">
      <c r="A87" s="52" t="s">
        <v>760</v>
      </c>
      <c r="B87" s="55" t="s">
        <v>253</v>
      </c>
      <c r="C87" s="129" t="s">
        <v>67</v>
      </c>
      <c r="D87" s="53" t="e">
        <f>VLOOKUP(C87,#REF!,3,FALSE)</f>
        <v>#REF!</v>
      </c>
      <c r="E87" s="113">
        <f>+'ORÇ - CONSOLIDADO'!H97</f>
        <v>0</v>
      </c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148">
        <f t="shared" si="12"/>
        <v>0</v>
      </c>
    </row>
    <row r="88" spans="1:18" ht="15.75">
      <c r="A88" s="52" t="s">
        <v>761</v>
      </c>
      <c r="B88" s="55" t="s">
        <v>253</v>
      </c>
      <c r="C88" s="129" t="s">
        <v>87</v>
      </c>
      <c r="D88" s="53" t="e">
        <f>VLOOKUP(C88,#REF!,3,FALSE)</f>
        <v>#REF!</v>
      </c>
      <c r="E88" s="113">
        <f>+'ORÇ - CONSOLIDADO'!H98</f>
        <v>0</v>
      </c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8">
        <f t="shared" si="12"/>
        <v>0</v>
      </c>
    </row>
    <row r="89" spans="1:18" ht="15.75">
      <c r="A89" s="52" t="s">
        <v>762</v>
      </c>
      <c r="B89" s="146" t="s">
        <v>26</v>
      </c>
      <c r="C89" s="129">
        <v>101616</v>
      </c>
      <c r="D89" s="53" t="e">
        <f>VLOOKUP(C89,#REF!,3,FALSE)</f>
        <v>#REF!</v>
      </c>
      <c r="E89" s="113">
        <f>+'ORÇ - CONSOLIDADO'!H100</f>
        <v>0</v>
      </c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8">
        <f t="shared" si="12"/>
        <v>0</v>
      </c>
    </row>
    <row r="90" spans="1:18" ht="15.75">
      <c r="A90" s="52" t="s">
        <v>763</v>
      </c>
      <c r="B90" s="55" t="s">
        <v>253</v>
      </c>
      <c r="C90" s="129" t="s">
        <v>207</v>
      </c>
      <c r="D90" s="53" t="e">
        <f>VLOOKUP(C90,#REF!,3,FALSE)</f>
        <v>#REF!</v>
      </c>
      <c r="E90" s="113">
        <f>+'ORÇ - CONSOLIDADO'!H101</f>
        <v>0</v>
      </c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148">
        <f t="shared" si="12"/>
        <v>0</v>
      </c>
    </row>
    <row r="91" spans="1:18" ht="15.75">
      <c r="A91" s="52" t="s">
        <v>764</v>
      </c>
      <c r="B91" s="53" t="s">
        <v>253</v>
      </c>
      <c r="C91" s="129" t="s">
        <v>726</v>
      </c>
      <c r="D91" s="53" t="e">
        <f>VLOOKUP(C91,#REF!,3,FALSE)</f>
        <v>#REF!</v>
      </c>
      <c r="E91" s="113">
        <f>+'ORÇ - CONSOLIDADO'!H102</f>
        <v>0</v>
      </c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148">
        <f t="shared" si="12"/>
        <v>0</v>
      </c>
    </row>
    <row r="92" spans="1:18" ht="15.75">
      <c r="A92" s="52" t="s">
        <v>765</v>
      </c>
      <c r="B92" s="53" t="s">
        <v>253</v>
      </c>
      <c r="C92" s="129" t="s">
        <v>90</v>
      </c>
      <c r="D92" s="53" t="e">
        <f>VLOOKUP(C92,#REF!,3,FALSE)</f>
        <v>#REF!</v>
      </c>
      <c r="E92" s="113">
        <f>+'ORÇ - CONSOLIDADO'!H103</f>
        <v>0</v>
      </c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148">
        <f t="shared" si="12"/>
        <v>0</v>
      </c>
    </row>
    <row r="93" spans="1:18" ht="15.75">
      <c r="A93" s="52" t="s">
        <v>766</v>
      </c>
      <c r="B93" s="55" t="s">
        <v>253</v>
      </c>
      <c r="C93" s="129" t="s">
        <v>71</v>
      </c>
      <c r="D93" s="53" t="e">
        <f>VLOOKUP(C93,#REF!,3,FALSE)</f>
        <v>#REF!</v>
      </c>
      <c r="E93" s="113">
        <f>+'ORÇ - CONSOLIDADO'!H104</f>
        <v>0</v>
      </c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8">
        <f t="shared" si="12"/>
        <v>0</v>
      </c>
    </row>
    <row r="94" spans="1:18" ht="15.75">
      <c r="A94" s="52" t="s">
        <v>767</v>
      </c>
      <c r="B94" s="58" t="s">
        <v>253</v>
      </c>
      <c r="C94" s="133" t="s">
        <v>105</v>
      </c>
      <c r="D94" s="53" t="e">
        <f>VLOOKUP(C94,#REF!,3,FALSE)</f>
        <v>#REF!</v>
      </c>
      <c r="E94" s="113">
        <f>+'ORÇ - CONSOLIDADO'!H106</f>
        <v>0</v>
      </c>
      <c r="F94" s="149"/>
      <c r="G94" s="33"/>
      <c r="H94" s="33"/>
      <c r="I94" s="33"/>
      <c r="J94" s="33"/>
      <c r="K94" s="33"/>
      <c r="L94" s="33"/>
      <c r="M94" s="33"/>
      <c r="N94" s="33"/>
      <c r="O94" s="33"/>
      <c r="P94" s="149"/>
      <c r="Q94" s="149"/>
      <c r="R94" s="148">
        <f t="shared" si="12"/>
        <v>0</v>
      </c>
    </row>
    <row r="95" spans="1:18" ht="15.75">
      <c r="A95" s="52" t="s">
        <v>768</v>
      </c>
      <c r="B95" s="55" t="s">
        <v>253</v>
      </c>
      <c r="C95" s="129" t="s">
        <v>70</v>
      </c>
      <c r="D95" s="53" t="e">
        <f>VLOOKUP(C95,#REF!,3,FALSE)</f>
        <v>#REF!</v>
      </c>
      <c r="E95" s="113">
        <f>+'ORÇ - CONSOLIDADO'!H107</f>
        <v>0</v>
      </c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148">
        <f t="shared" si="12"/>
        <v>0</v>
      </c>
    </row>
    <row r="96" spans="1:18" ht="15.75">
      <c r="A96" s="52" t="s">
        <v>769</v>
      </c>
      <c r="B96" s="55" t="s">
        <v>253</v>
      </c>
      <c r="C96" s="129" t="s">
        <v>729</v>
      </c>
      <c r="D96" s="53" t="e">
        <f>VLOOKUP(C96,#REF!,3,FALSE)</f>
        <v>#REF!</v>
      </c>
      <c r="E96" s="113">
        <f>+'ORÇ - CONSOLIDADO'!H108</f>
        <v>0</v>
      </c>
      <c r="F96" s="149"/>
      <c r="G96" s="149"/>
      <c r="H96" s="149"/>
      <c r="I96" s="33"/>
      <c r="J96" s="33"/>
      <c r="K96" s="33"/>
      <c r="L96" s="33"/>
      <c r="M96" s="33"/>
      <c r="N96" s="33"/>
      <c r="O96" s="149"/>
      <c r="P96" s="149"/>
      <c r="Q96" s="149"/>
      <c r="R96" s="148">
        <f t="shared" si="12"/>
        <v>0</v>
      </c>
    </row>
    <row r="97" spans="1:18" ht="15.75">
      <c r="A97" s="52" t="s">
        <v>770</v>
      </c>
      <c r="B97" s="55" t="s">
        <v>253</v>
      </c>
      <c r="C97" s="129" t="s">
        <v>730</v>
      </c>
      <c r="D97" s="53" t="e">
        <f>VLOOKUP(C97,#REF!,3,FALSE)</f>
        <v>#REF!</v>
      </c>
      <c r="E97" s="113" t="e">
        <f>+'ORÇ - CONSOLIDADO'!#REF!</f>
        <v>#REF!</v>
      </c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148">
        <f t="shared" si="12"/>
        <v>0</v>
      </c>
    </row>
    <row r="98" spans="1:18" ht="15.75">
      <c r="A98" s="52" t="s">
        <v>771</v>
      </c>
      <c r="B98" s="55" t="s">
        <v>253</v>
      </c>
      <c r="C98" s="129" t="s">
        <v>249</v>
      </c>
      <c r="D98" s="53" t="e">
        <f>VLOOKUP(C98,#REF!,3,FALSE)</f>
        <v>#REF!</v>
      </c>
      <c r="E98" s="113" t="e">
        <f>+'ORÇ - CONSOLIDADO'!#REF!</f>
        <v>#REF!</v>
      </c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148">
        <f t="shared" si="12"/>
        <v>0</v>
      </c>
    </row>
    <row r="99" spans="1:18" ht="15.75">
      <c r="A99" s="52" t="s">
        <v>772</v>
      </c>
      <c r="B99" s="55" t="s">
        <v>253</v>
      </c>
      <c r="C99" s="129" t="s">
        <v>732</v>
      </c>
      <c r="D99" s="53" t="e">
        <f>VLOOKUP(C99,#REF!,3,FALSE)</f>
        <v>#REF!</v>
      </c>
      <c r="E99" s="113" t="e">
        <f>+'ORÇ - CONSOLIDADO'!#REF!</f>
        <v>#REF!</v>
      </c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8">
        <f t="shared" si="12"/>
        <v>0</v>
      </c>
    </row>
    <row r="100" spans="1:18" ht="15.75">
      <c r="A100" s="52"/>
      <c r="B100" s="58">
        <v>0</v>
      </c>
      <c r="C100" s="133">
        <v>0</v>
      </c>
      <c r="D100" s="58"/>
      <c r="E100" s="113">
        <f>+'ORÇ - CONSOLIDADO'!H109</f>
        <v>0</v>
      </c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  <c r="R100" s="148">
        <f t="shared" si="12"/>
        <v>0</v>
      </c>
    </row>
    <row r="101" spans="1:18" ht="15.75">
      <c r="A101" s="50" t="s">
        <v>522</v>
      </c>
      <c r="B101" s="116">
        <v>0</v>
      </c>
      <c r="C101" s="128"/>
      <c r="D101" s="151" t="s">
        <v>1012</v>
      </c>
      <c r="E101" s="118">
        <f>+'ORÇ - CONSOLIDADO'!H110</f>
        <v>0</v>
      </c>
      <c r="F101" s="33"/>
      <c r="G101" s="33"/>
      <c r="H101" s="33"/>
      <c r="I101" s="149" t="e">
        <f>+$E101/$E$81/3*100</f>
        <v>#DIV/0!</v>
      </c>
      <c r="J101" s="149" t="e">
        <f>+$E101/$E$81/3*100</f>
        <v>#DIV/0!</v>
      </c>
      <c r="K101" s="149" t="e">
        <f>+$E101/$E$81/3*100</f>
        <v>#DIV/0!</v>
      </c>
      <c r="L101" s="33"/>
      <c r="M101" s="33"/>
      <c r="N101" s="33"/>
      <c r="O101" s="33"/>
      <c r="P101" s="33"/>
      <c r="Q101" s="33"/>
      <c r="R101" s="148" t="e">
        <f t="shared" si="12"/>
        <v>#DIV/0!</v>
      </c>
    </row>
    <row r="102" spans="1:18" ht="15.75">
      <c r="A102" s="52" t="s">
        <v>523</v>
      </c>
      <c r="B102" s="55" t="s">
        <v>253</v>
      </c>
      <c r="C102" s="129" t="s">
        <v>725</v>
      </c>
      <c r="D102" s="53" t="e">
        <f>VLOOKUP(C102,#REF!,3,FALSE)</f>
        <v>#REF!</v>
      </c>
      <c r="E102" s="113">
        <f>+'ORÇ - CONSOLIDADO'!H111</f>
        <v>0</v>
      </c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148">
        <f t="shared" si="12"/>
        <v>0</v>
      </c>
    </row>
    <row r="103" spans="1:18" ht="15.75">
      <c r="A103" s="52" t="s">
        <v>524</v>
      </c>
      <c r="B103" s="55" t="s">
        <v>253</v>
      </c>
      <c r="C103" s="129" t="s">
        <v>68</v>
      </c>
      <c r="D103" s="53" t="e">
        <f>VLOOKUP(C103,#REF!,3,FALSE)</f>
        <v>#REF!</v>
      </c>
      <c r="E103" s="113">
        <f>+'ORÇ - CONSOLIDADO'!H112</f>
        <v>0</v>
      </c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148">
        <f t="shared" si="12"/>
        <v>0</v>
      </c>
    </row>
    <row r="104" spans="1:18" ht="15.75">
      <c r="A104" s="52" t="s">
        <v>525</v>
      </c>
      <c r="B104" s="55" t="s">
        <v>253</v>
      </c>
      <c r="C104" s="129" t="s">
        <v>67</v>
      </c>
      <c r="D104" s="53" t="e">
        <f>VLOOKUP(C104,#REF!,3,FALSE)</f>
        <v>#REF!</v>
      </c>
      <c r="E104" s="113">
        <f>+'ORÇ - CONSOLIDADO'!H113</f>
        <v>0</v>
      </c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148">
        <f t="shared" si="12"/>
        <v>0</v>
      </c>
    </row>
    <row r="105" spans="1:18" ht="15.75">
      <c r="A105" s="52" t="s">
        <v>526</v>
      </c>
      <c r="B105" s="55" t="s">
        <v>253</v>
      </c>
      <c r="C105" s="129" t="s">
        <v>87</v>
      </c>
      <c r="D105" s="53" t="e">
        <f>VLOOKUP(C105,#REF!,3,FALSE)</f>
        <v>#REF!</v>
      </c>
      <c r="E105" s="113">
        <f>+'ORÇ - CONSOLIDADO'!H114</f>
        <v>0</v>
      </c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148">
        <f t="shared" si="12"/>
        <v>0</v>
      </c>
    </row>
    <row r="106" spans="1:18" ht="15.75">
      <c r="A106" s="52" t="s">
        <v>741</v>
      </c>
      <c r="B106" s="55" t="s">
        <v>253</v>
      </c>
      <c r="C106" s="129" t="s">
        <v>728</v>
      </c>
      <c r="D106" s="53" t="e">
        <f>VLOOKUP(C106,#REF!,3,FALSE)</f>
        <v>#REF!</v>
      </c>
      <c r="E106" s="113">
        <f>+'ORÇ - CONSOLIDADO'!H115</f>
        <v>0</v>
      </c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148">
        <f t="shared" si="12"/>
        <v>0</v>
      </c>
    </row>
    <row r="107" spans="1:18" ht="15.75">
      <c r="A107" s="52" t="s">
        <v>742</v>
      </c>
      <c r="B107" s="146" t="s">
        <v>26</v>
      </c>
      <c r="C107" s="129">
        <v>101616</v>
      </c>
      <c r="D107" s="53" t="e">
        <f>VLOOKUP(C107,#REF!,3,FALSE)</f>
        <v>#REF!</v>
      </c>
      <c r="E107" s="113">
        <f>+'ORÇ - CONSOLIDADO'!H116</f>
        <v>0</v>
      </c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148">
        <f t="shared" si="12"/>
        <v>0</v>
      </c>
    </row>
    <row r="108" spans="1:18" ht="15.75">
      <c r="A108" s="52" t="s">
        <v>743</v>
      </c>
      <c r="B108" s="55" t="s">
        <v>253</v>
      </c>
      <c r="C108" s="129" t="s">
        <v>207</v>
      </c>
      <c r="D108" s="53" t="e">
        <f>VLOOKUP(C108,#REF!,3,FALSE)</f>
        <v>#REF!</v>
      </c>
      <c r="E108" s="113">
        <f>+'ORÇ - CONSOLIDADO'!H117</f>
        <v>0</v>
      </c>
      <c r="F108" s="149"/>
      <c r="G108" s="149"/>
      <c r="H108" s="149"/>
      <c r="I108" s="149"/>
      <c r="J108" s="149"/>
      <c r="K108" s="149"/>
      <c r="L108" s="149"/>
      <c r="M108" s="149"/>
      <c r="N108" s="149"/>
      <c r="O108" s="149"/>
      <c r="P108" s="149"/>
      <c r="Q108" s="149"/>
      <c r="R108" s="148">
        <f t="shared" si="12"/>
        <v>0</v>
      </c>
    </row>
    <row r="109" spans="1:18" ht="15.75">
      <c r="A109" s="52" t="s">
        <v>744</v>
      </c>
      <c r="B109" s="53" t="s">
        <v>253</v>
      </c>
      <c r="C109" s="129" t="s">
        <v>726</v>
      </c>
      <c r="D109" s="53" t="e">
        <f>VLOOKUP(C109,#REF!,3,FALSE)</f>
        <v>#REF!</v>
      </c>
      <c r="E109" s="113">
        <f>+'ORÇ - CONSOLIDADO'!H118</f>
        <v>0</v>
      </c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8">
        <f t="shared" si="12"/>
        <v>0</v>
      </c>
    </row>
    <row r="110" spans="1:18" ht="15.75">
      <c r="A110" s="52" t="s">
        <v>745</v>
      </c>
      <c r="B110" s="55" t="s">
        <v>253</v>
      </c>
      <c r="C110" s="129" t="s">
        <v>71</v>
      </c>
      <c r="D110" s="53" t="e">
        <f>VLOOKUP(C110,#REF!,3,FALSE)</f>
        <v>#REF!</v>
      </c>
      <c r="E110" s="113">
        <f>+'ORÇ - CONSOLIDADO'!H120</f>
        <v>0</v>
      </c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148">
        <f t="shared" si="12"/>
        <v>0</v>
      </c>
    </row>
    <row r="111" spans="1:18" ht="15.75">
      <c r="A111" s="52" t="s">
        <v>746</v>
      </c>
      <c r="B111" s="58" t="s">
        <v>253</v>
      </c>
      <c r="C111" s="133" t="s">
        <v>105</v>
      </c>
      <c r="D111" s="53" t="e">
        <f>VLOOKUP(C111,#REF!,3,FALSE)</f>
        <v>#REF!</v>
      </c>
      <c r="E111" s="113">
        <f>+'ORÇ - CONSOLIDADO'!H122</f>
        <v>0</v>
      </c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148">
        <f t="shared" si="12"/>
        <v>0</v>
      </c>
    </row>
    <row r="112" spans="1:18" ht="15.75">
      <c r="A112" s="52" t="s">
        <v>747</v>
      </c>
      <c r="B112" s="55" t="s">
        <v>253</v>
      </c>
      <c r="C112" s="129" t="s">
        <v>70</v>
      </c>
      <c r="D112" s="53" t="e">
        <f>VLOOKUP(C112,#REF!,3,FALSE)</f>
        <v>#REF!</v>
      </c>
      <c r="E112" s="113">
        <f>+'ORÇ - CONSOLIDADO'!H123</f>
        <v>0</v>
      </c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148">
        <f t="shared" si="12"/>
        <v>0</v>
      </c>
    </row>
    <row r="113" spans="1:18" ht="15.75">
      <c r="A113" s="52"/>
      <c r="B113" s="58">
        <v>0</v>
      </c>
      <c r="C113" s="133">
        <v>0</v>
      </c>
      <c r="D113" s="58"/>
      <c r="E113" s="113">
        <f>+'ORÇ - CONSOLIDADO'!H124</f>
        <v>0</v>
      </c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148">
        <f t="shared" si="12"/>
        <v>0</v>
      </c>
    </row>
    <row r="114" spans="1:18" ht="15.75">
      <c r="A114" s="50" t="s">
        <v>527</v>
      </c>
      <c r="B114" s="116">
        <v>0</v>
      </c>
      <c r="C114" s="128"/>
      <c r="D114" s="151" t="s">
        <v>774</v>
      </c>
      <c r="E114" s="118">
        <f>+'ORÇ - CONSOLIDADO'!H127</f>
        <v>0</v>
      </c>
      <c r="F114" s="33"/>
      <c r="G114" s="33"/>
      <c r="H114" s="33"/>
      <c r="I114" s="33"/>
      <c r="J114" s="149" t="e">
        <f>+$E114/$E$81/3*100</f>
        <v>#DIV/0!</v>
      </c>
      <c r="K114" s="149" t="e">
        <f>+$E114/$E$81/3*100</f>
        <v>#DIV/0!</v>
      </c>
      <c r="L114" s="149" t="e">
        <f>+$E114/$E$81/3*100</f>
        <v>#DIV/0!</v>
      </c>
      <c r="M114" s="33"/>
      <c r="N114" s="33"/>
      <c r="O114" s="33"/>
      <c r="P114" s="33"/>
      <c r="Q114" s="33"/>
      <c r="R114" s="148" t="e">
        <f t="shared" si="12"/>
        <v>#DIV/0!</v>
      </c>
    </row>
    <row r="115" spans="1:18" ht="15.75">
      <c r="A115" s="52" t="s">
        <v>528</v>
      </c>
      <c r="B115" s="55" t="s">
        <v>253</v>
      </c>
      <c r="C115" s="129" t="s">
        <v>725</v>
      </c>
      <c r="D115" s="53" t="e">
        <f>VLOOKUP(C115,#REF!,3,FALSE)</f>
        <v>#REF!</v>
      </c>
      <c r="E115" s="113">
        <f>+'ORÇ - CONSOLIDADO'!H128</f>
        <v>0</v>
      </c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148">
        <f t="shared" si="12"/>
        <v>0</v>
      </c>
    </row>
    <row r="116" spans="1:18" ht="15.75">
      <c r="A116" s="52" t="s">
        <v>529</v>
      </c>
      <c r="B116" s="58" t="s">
        <v>253</v>
      </c>
      <c r="C116" s="130" t="s">
        <v>724</v>
      </c>
      <c r="D116" s="53" t="e">
        <f>VLOOKUP(C116,#REF!,3,FALSE)</f>
        <v>#REF!</v>
      </c>
      <c r="E116" s="113" t="e">
        <f>+'ORÇ - CONSOLIDADO'!#REF!</f>
        <v>#REF!</v>
      </c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148">
        <f t="shared" si="12"/>
        <v>0</v>
      </c>
    </row>
    <row r="117" spans="1:18" ht="15.75">
      <c r="A117" s="52" t="s">
        <v>530</v>
      </c>
      <c r="B117" s="55" t="s">
        <v>253</v>
      </c>
      <c r="C117" s="129" t="s">
        <v>66</v>
      </c>
      <c r="D117" s="53" t="e">
        <f>VLOOKUP(C117,#REF!,3,FALSE)</f>
        <v>#REF!</v>
      </c>
      <c r="E117" s="113" t="e">
        <f>+'ORÇ - CONSOLIDADO'!#REF!</f>
        <v>#REF!</v>
      </c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148">
        <f t="shared" si="12"/>
        <v>0</v>
      </c>
    </row>
    <row r="118" spans="1:18" ht="15.75">
      <c r="A118" s="52" t="s">
        <v>531</v>
      </c>
      <c r="B118" s="55" t="s">
        <v>253</v>
      </c>
      <c r="C118" s="129" t="s">
        <v>68</v>
      </c>
      <c r="D118" s="53" t="e">
        <f>VLOOKUP(C118,#REF!,3,FALSE)</f>
        <v>#REF!</v>
      </c>
      <c r="E118" s="113">
        <f>+'ORÇ - CONSOLIDADO'!H129</f>
        <v>0</v>
      </c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148">
        <f t="shared" si="12"/>
        <v>0</v>
      </c>
    </row>
    <row r="119" spans="1:18" ht="15.75">
      <c r="A119" s="52" t="s">
        <v>748</v>
      </c>
      <c r="B119" s="55" t="s">
        <v>253</v>
      </c>
      <c r="C119" s="129" t="s">
        <v>727</v>
      </c>
      <c r="D119" s="53" t="e">
        <f>VLOOKUP(C119,#REF!,3,FALSE)</f>
        <v>#REF!</v>
      </c>
      <c r="E119" s="113">
        <f>+'ORÇ - CONSOLIDADO'!H130</f>
        <v>0</v>
      </c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148">
        <f t="shared" si="12"/>
        <v>0</v>
      </c>
    </row>
    <row r="120" spans="1:18" ht="15.75">
      <c r="A120" s="52" t="s">
        <v>749</v>
      </c>
      <c r="B120" s="55" t="s">
        <v>253</v>
      </c>
      <c r="C120" s="129" t="s">
        <v>728</v>
      </c>
      <c r="D120" s="53" t="e">
        <f>VLOOKUP(C120,#REF!,3,FALSE)</f>
        <v>#REF!</v>
      </c>
      <c r="E120" s="113">
        <f>+'ORÇ - CONSOLIDADO'!H132</f>
        <v>0</v>
      </c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148">
        <f t="shared" si="12"/>
        <v>0</v>
      </c>
    </row>
    <row r="121" spans="1:18" ht="15.75">
      <c r="A121" s="52" t="s">
        <v>750</v>
      </c>
      <c r="B121" s="146" t="s">
        <v>26</v>
      </c>
      <c r="C121" s="129">
        <v>101616</v>
      </c>
      <c r="D121" s="53" t="e">
        <f>VLOOKUP(C121,#REF!,3,FALSE)</f>
        <v>#REF!</v>
      </c>
      <c r="E121" s="113">
        <f>+'ORÇ - CONSOLIDADO'!H133</f>
        <v>0</v>
      </c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148">
        <f t="shared" si="12"/>
        <v>0</v>
      </c>
    </row>
    <row r="122" spans="1:18" ht="15.75">
      <c r="A122" s="52" t="s">
        <v>751</v>
      </c>
      <c r="B122" s="55" t="s">
        <v>253</v>
      </c>
      <c r="C122" s="129" t="s">
        <v>207</v>
      </c>
      <c r="D122" s="53" t="e">
        <f>VLOOKUP(C122,#REF!,3,FALSE)</f>
        <v>#REF!</v>
      </c>
      <c r="E122" s="113">
        <f>+'ORÇ - CONSOLIDADO'!H134</f>
        <v>0</v>
      </c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148">
        <f t="shared" si="12"/>
        <v>0</v>
      </c>
    </row>
    <row r="123" spans="1:18" ht="15.75">
      <c r="A123" s="52" t="s">
        <v>752</v>
      </c>
      <c r="B123" s="53" t="s">
        <v>253</v>
      </c>
      <c r="C123" s="129" t="s">
        <v>726</v>
      </c>
      <c r="D123" s="53" t="e">
        <f>VLOOKUP(C123,#REF!,3,FALSE)</f>
        <v>#REF!</v>
      </c>
      <c r="E123" s="113">
        <f>+'ORÇ - CONSOLIDADO'!H135</f>
        <v>0</v>
      </c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148">
        <f t="shared" si="12"/>
        <v>0</v>
      </c>
    </row>
    <row r="124" spans="1:18" ht="15.75">
      <c r="A124" s="52" t="s">
        <v>753</v>
      </c>
      <c r="B124" s="53" t="s">
        <v>253</v>
      </c>
      <c r="C124" s="129" t="s">
        <v>90</v>
      </c>
      <c r="D124" s="53" t="e">
        <f>VLOOKUP(C124,#REF!,3,FALSE)</f>
        <v>#REF!</v>
      </c>
      <c r="E124" s="113">
        <f>+'ORÇ - CONSOLIDADO'!H136</f>
        <v>0</v>
      </c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148">
        <f t="shared" si="12"/>
        <v>0</v>
      </c>
    </row>
    <row r="125" spans="1:18" ht="15.75">
      <c r="A125" s="52" t="s">
        <v>754</v>
      </c>
      <c r="B125" s="55" t="s">
        <v>253</v>
      </c>
      <c r="C125" s="129" t="s">
        <v>71</v>
      </c>
      <c r="D125" s="53" t="e">
        <f>VLOOKUP(C125,#REF!,3,FALSE)</f>
        <v>#REF!</v>
      </c>
      <c r="E125" s="113">
        <f>+'ORÇ - CONSOLIDADO'!H137</f>
        <v>0</v>
      </c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148">
        <f t="shared" si="12"/>
        <v>0</v>
      </c>
    </row>
    <row r="126" spans="1:18" ht="15.75">
      <c r="A126" s="52" t="s">
        <v>755</v>
      </c>
      <c r="B126" s="58" t="s">
        <v>253</v>
      </c>
      <c r="C126" s="133" t="s">
        <v>105</v>
      </c>
      <c r="D126" s="53" t="e">
        <f>VLOOKUP(C126,#REF!,3,FALSE)</f>
        <v>#REF!</v>
      </c>
      <c r="E126" s="113">
        <f>+'ORÇ - CONSOLIDADO'!H138</f>
        <v>0</v>
      </c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148">
        <f t="shared" si="12"/>
        <v>0</v>
      </c>
    </row>
    <row r="127" spans="1:18" ht="15.75">
      <c r="A127" s="52" t="s">
        <v>756</v>
      </c>
      <c r="B127" s="55" t="s">
        <v>253</v>
      </c>
      <c r="C127" s="129" t="s">
        <v>70</v>
      </c>
      <c r="D127" s="53" t="e">
        <f>VLOOKUP(C127,#REF!,3,FALSE)</f>
        <v>#REF!</v>
      </c>
      <c r="E127" s="113">
        <f>+'ORÇ - CONSOLIDADO'!H139</f>
        <v>0</v>
      </c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148">
        <f t="shared" si="12"/>
        <v>0</v>
      </c>
    </row>
    <row r="128" spans="1:18" ht="15.75">
      <c r="A128" s="52" t="s">
        <v>757</v>
      </c>
      <c r="B128" s="55" t="s">
        <v>253</v>
      </c>
      <c r="C128" s="129" t="s">
        <v>729</v>
      </c>
      <c r="D128" s="53" t="e">
        <f>VLOOKUP(C128,#REF!,3,FALSE)</f>
        <v>#REF!</v>
      </c>
      <c r="E128" s="113">
        <f>+'ORÇ - CONSOLIDADO'!H140</f>
        <v>0</v>
      </c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148">
        <f t="shared" si="12"/>
        <v>0</v>
      </c>
    </row>
    <row r="129" spans="1:18" ht="15.75">
      <c r="A129" s="52" t="s">
        <v>758</v>
      </c>
      <c r="B129" s="55" t="s">
        <v>253</v>
      </c>
      <c r="C129" s="129" t="s">
        <v>730</v>
      </c>
      <c r="D129" s="53" t="e">
        <f>VLOOKUP(C129,#REF!,3,FALSE)</f>
        <v>#REF!</v>
      </c>
      <c r="E129" s="113" t="e">
        <f>+'ORÇ - CONSOLIDADO'!#REF!</f>
        <v>#REF!</v>
      </c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148">
        <f t="shared" si="12"/>
        <v>0</v>
      </c>
    </row>
    <row r="130" spans="1:18" ht="15.75">
      <c r="A130" s="52" t="s">
        <v>759</v>
      </c>
      <c r="B130" s="55" t="s">
        <v>253</v>
      </c>
      <c r="C130" s="129" t="s">
        <v>731</v>
      </c>
      <c r="D130" s="53" t="e">
        <f>VLOOKUP(C130,#REF!,3,FALSE)</f>
        <v>#REF!</v>
      </c>
      <c r="E130" s="113">
        <f>+'ORÇ - CONSOLIDADO'!H141</f>
        <v>0</v>
      </c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148">
        <f t="shared" si="12"/>
        <v>0</v>
      </c>
    </row>
    <row r="131" spans="1:18" ht="15.75">
      <c r="A131" s="52"/>
      <c r="B131" s="58">
        <v>0</v>
      </c>
      <c r="C131" s="133">
        <v>0</v>
      </c>
      <c r="D131" s="58"/>
      <c r="E131" s="113">
        <f>+'ORÇ - CONSOLIDADO'!H142</f>
        <v>0</v>
      </c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148">
        <f t="shared" si="12"/>
        <v>0</v>
      </c>
    </row>
    <row r="132" spans="1:18" ht="15.75">
      <c r="A132" s="50" t="s">
        <v>532</v>
      </c>
      <c r="B132" s="116">
        <v>0</v>
      </c>
      <c r="C132" s="128"/>
      <c r="D132" s="151" t="s">
        <v>782</v>
      </c>
      <c r="E132" s="118">
        <f>+'ORÇ - CONSOLIDADO'!H143</f>
        <v>0</v>
      </c>
      <c r="F132" s="33"/>
      <c r="G132" s="33"/>
      <c r="H132" s="149" t="e">
        <f>+$E132/$E$81*100</f>
        <v>#DIV/0!</v>
      </c>
      <c r="I132" s="33"/>
      <c r="J132" s="33"/>
      <c r="K132" s="33"/>
      <c r="L132" s="33"/>
      <c r="M132" s="33"/>
      <c r="N132" s="33"/>
      <c r="O132" s="33"/>
      <c r="P132" s="33"/>
      <c r="Q132" s="33"/>
      <c r="R132" s="148" t="e">
        <f t="shared" si="12"/>
        <v>#DIV/0!</v>
      </c>
    </row>
    <row r="133" spans="1:18" ht="15.75">
      <c r="A133" s="52" t="s">
        <v>533</v>
      </c>
      <c r="B133" s="58" t="s">
        <v>253</v>
      </c>
      <c r="C133" s="130" t="s">
        <v>724</v>
      </c>
      <c r="D133" s="53" t="e">
        <f>VLOOKUP(C133,#REF!,3,FALSE)</f>
        <v>#REF!</v>
      </c>
      <c r="E133" s="113" t="e">
        <f>+'ORÇ - CONSOLIDADO'!#REF!</f>
        <v>#REF!</v>
      </c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148">
        <f aca="true" t="shared" si="16" ref="R133:R196">SUM(F133:Q133)</f>
        <v>0</v>
      </c>
    </row>
    <row r="134" spans="1:18" ht="15.75">
      <c r="A134" s="52" t="s">
        <v>534</v>
      </c>
      <c r="B134" s="55" t="s">
        <v>253</v>
      </c>
      <c r="C134" s="129" t="s">
        <v>66</v>
      </c>
      <c r="D134" s="53" t="e">
        <f>VLOOKUP(C134,#REF!,3,FALSE)</f>
        <v>#REF!</v>
      </c>
      <c r="E134" s="113">
        <f>+'ORÇ - CONSOLIDADO'!H144</f>
        <v>0</v>
      </c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148">
        <f t="shared" si="16"/>
        <v>0</v>
      </c>
    </row>
    <row r="135" spans="1:18" ht="15.75">
      <c r="A135" s="52" t="s">
        <v>535</v>
      </c>
      <c r="B135" s="55" t="s">
        <v>253</v>
      </c>
      <c r="C135" s="129" t="s">
        <v>68</v>
      </c>
      <c r="D135" s="53" t="e">
        <f>VLOOKUP(C135,#REF!,3,FALSE)</f>
        <v>#REF!</v>
      </c>
      <c r="E135" s="113">
        <f>+'ORÇ - CONSOLIDADO'!H145</f>
        <v>0</v>
      </c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48">
        <f t="shared" si="16"/>
        <v>0</v>
      </c>
    </row>
    <row r="136" spans="1:18" ht="15.75">
      <c r="A136" s="52" t="s">
        <v>536</v>
      </c>
      <c r="B136" s="55" t="s">
        <v>253</v>
      </c>
      <c r="C136" s="129" t="s">
        <v>727</v>
      </c>
      <c r="D136" s="53" t="e">
        <f>VLOOKUP(C136,#REF!,3,FALSE)</f>
        <v>#REF!</v>
      </c>
      <c r="E136" s="113">
        <f>+'ORÇ - CONSOLIDADO'!H146</f>
        <v>0</v>
      </c>
      <c r="F136" s="149"/>
      <c r="G136" s="149"/>
      <c r="H136" s="149"/>
      <c r="I136" s="149"/>
      <c r="J136" s="149"/>
      <c r="K136" s="149"/>
      <c r="L136" s="149"/>
      <c r="M136" s="149"/>
      <c r="N136" s="149"/>
      <c r="O136" s="149"/>
      <c r="P136" s="149"/>
      <c r="Q136" s="149"/>
      <c r="R136" s="148">
        <f t="shared" si="16"/>
        <v>0</v>
      </c>
    </row>
    <row r="137" spans="1:18" ht="15.75">
      <c r="A137" s="52" t="s">
        <v>537</v>
      </c>
      <c r="B137" s="55" t="s">
        <v>253</v>
      </c>
      <c r="C137" s="129" t="s">
        <v>728</v>
      </c>
      <c r="D137" s="53" t="e">
        <f>VLOOKUP(C137,#REF!,3,FALSE)</f>
        <v>#REF!</v>
      </c>
      <c r="E137" s="113">
        <f>+'ORÇ - CONSOLIDADO'!H148</f>
        <v>0</v>
      </c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148">
        <f t="shared" si="16"/>
        <v>0</v>
      </c>
    </row>
    <row r="138" spans="1:18" ht="15.75">
      <c r="A138" s="52" t="s">
        <v>783</v>
      </c>
      <c r="B138" s="146" t="s">
        <v>26</v>
      </c>
      <c r="C138" s="129">
        <v>101616</v>
      </c>
      <c r="D138" s="53" t="e">
        <f>VLOOKUP(C138,#REF!,3,FALSE)</f>
        <v>#REF!</v>
      </c>
      <c r="E138" s="113">
        <f>+'ORÇ - CONSOLIDADO'!H149</f>
        <v>0</v>
      </c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148">
        <f t="shared" si="16"/>
        <v>0</v>
      </c>
    </row>
    <row r="139" spans="1:18" ht="15.75">
      <c r="A139" s="52" t="s">
        <v>784</v>
      </c>
      <c r="B139" s="55" t="s">
        <v>253</v>
      </c>
      <c r="C139" s="129" t="s">
        <v>207</v>
      </c>
      <c r="D139" s="53" t="e">
        <f>VLOOKUP(C139,#REF!,3,FALSE)</f>
        <v>#REF!</v>
      </c>
      <c r="E139" s="113">
        <f>+'ORÇ - CONSOLIDADO'!H150</f>
        <v>0</v>
      </c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148">
        <f t="shared" si="16"/>
        <v>0</v>
      </c>
    </row>
    <row r="140" spans="1:18" ht="15.75">
      <c r="A140" s="52" t="s">
        <v>785</v>
      </c>
      <c r="B140" s="53" t="s">
        <v>253</v>
      </c>
      <c r="C140" s="129" t="s">
        <v>726</v>
      </c>
      <c r="D140" s="53" t="e">
        <f>VLOOKUP(C140,#REF!,3,FALSE)</f>
        <v>#REF!</v>
      </c>
      <c r="E140" s="113">
        <f>+'ORÇ - CONSOLIDADO'!H151</f>
        <v>0</v>
      </c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  <c r="P140" s="149"/>
      <c r="Q140" s="149"/>
      <c r="R140" s="148">
        <f t="shared" si="16"/>
        <v>0</v>
      </c>
    </row>
    <row r="141" spans="1:18" ht="15.75">
      <c r="A141" s="52" t="s">
        <v>786</v>
      </c>
      <c r="B141" s="53" t="s">
        <v>253</v>
      </c>
      <c r="C141" s="129" t="s">
        <v>90</v>
      </c>
      <c r="D141" s="53" t="e">
        <f>VLOOKUP(C141,#REF!,3,FALSE)</f>
        <v>#REF!</v>
      </c>
      <c r="E141" s="113">
        <f>+'ORÇ - CONSOLIDADO'!H152</f>
        <v>0</v>
      </c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8">
        <f t="shared" si="16"/>
        <v>0</v>
      </c>
    </row>
    <row r="142" spans="1:18" ht="15.75">
      <c r="A142" s="52" t="s">
        <v>787</v>
      </c>
      <c r="B142" s="55" t="s">
        <v>253</v>
      </c>
      <c r="C142" s="129" t="s">
        <v>71</v>
      </c>
      <c r="D142" s="53" t="e">
        <f>VLOOKUP(C142,#REF!,3,FALSE)</f>
        <v>#REF!</v>
      </c>
      <c r="E142" s="113">
        <f>+'ORÇ - CONSOLIDADO'!H153</f>
        <v>0</v>
      </c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148">
        <f t="shared" si="16"/>
        <v>0</v>
      </c>
    </row>
    <row r="143" spans="1:18" ht="15.75">
      <c r="A143" s="52" t="s">
        <v>788</v>
      </c>
      <c r="B143" s="58" t="s">
        <v>253</v>
      </c>
      <c r="C143" s="133" t="s">
        <v>105</v>
      </c>
      <c r="D143" s="53" t="e">
        <f>VLOOKUP(C143,#REF!,3,FALSE)</f>
        <v>#REF!</v>
      </c>
      <c r="E143" s="113">
        <f>+'ORÇ - CONSOLIDADO'!H154</f>
        <v>0</v>
      </c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148">
        <f t="shared" si="16"/>
        <v>0</v>
      </c>
    </row>
    <row r="144" spans="1:18" ht="15.75">
      <c r="A144" s="52" t="s">
        <v>789</v>
      </c>
      <c r="B144" s="55" t="s">
        <v>253</v>
      </c>
      <c r="C144" s="129" t="s">
        <v>70</v>
      </c>
      <c r="D144" s="53" t="e">
        <f>VLOOKUP(C144,#REF!,3,FALSE)</f>
        <v>#REF!</v>
      </c>
      <c r="E144" s="113">
        <f>+'ORÇ - CONSOLIDADO'!H155</f>
        <v>0</v>
      </c>
      <c r="F144" s="149"/>
      <c r="G144" s="149"/>
      <c r="H144" s="149"/>
      <c r="I144" s="149"/>
      <c r="J144" s="149"/>
      <c r="K144" s="149"/>
      <c r="L144" s="149"/>
      <c r="M144" s="149"/>
      <c r="N144" s="149"/>
      <c r="O144" s="149"/>
      <c r="P144" s="149"/>
      <c r="Q144" s="149"/>
      <c r="R144" s="148">
        <f t="shared" si="16"/>
        <v>0</v>
      </c>
    </row>
    <row r="145" spans="1:18" ht="15.75">
      <c r="A145" s="52" t="s">
        <v>790</v>
      </c>
      <c r="B145" s="55" t="s">
        <v>253</v>
      </c>
      <c r="C145" s="129" t="s">
        <v>729</v>
      </c>
      <c r="D145" s="53" t="e">
        <f>VLOOKUP(C145,#REF!,3,FALSE)</f>
        <v>#REF!</v>
      </c>
      <c r="E145" s="113">
        <f>+'ORÇ - CONSOLIDADO'!H156</f>
        <v>0</v>
      </c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48">
        <f t="shared" si="16"/>
        <v>0</v>
      </c>
    </row>
    <row r="146" spans="1:18" ht="15.75">
      <c r="A146" s="52"/>
      <c r="B146" s="58">
        <v>0</v>
      </c>
      <c r="C146" s="133">
        <v>0</v>
      </c>
      <c r="D146" s="58"/>
      <c r="E146" s="113">
        <f>+'ORÇ - CONSOLIDADO'!H157</f>
        <v>0</v>
      </c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148">
        <f t="shared" si="16"/>
        <v>0</v>
      </c>
    </row>
    <row r="147" spans="1:18" ht="15.75">
      <c r="A147" s="59" t="s">
        <v>775</v>
      </c>
      <c r="B147" s="60">
        <v>0</v>
      </c>
      <c r="C147" s="127">
        <v>0</v>
      </c>
      <c r="D147" s="60" t="s">
        <v>280</v>
      </c>
      <c r="E147" s="118">
        <f>+'ORÇ - CONSOLIDADO'!H158</f>
        <v>0</v>
      </c>
      <c r="F147" s="149" t="e">
        <f>SUM(F148:F175)</f>
        <v>#DIV/0!</v>
      </c>
      <c r="G147" s="149" t="e">
        <f aca="true" t="shared" si="17" ref="G147:Q147">SUM(G148:G175)</f>
        <v>#DIV/0!</v>
      </c>
      <c r="H147" s="149" t="e">
        <f t="shared" si="17"/>
        <v>#DIV/0!</v>
      </c>
      <c r="I147" s="149" t="e">
        <f t="shared" si="17"/>
        <v>#DIV/0!</v>
      </c>
      <c r="J147" s="149" t="e">
        <f t="shared" si="17"/>
        <v>#DIV/0!</v>
      </c>
      <c r="K147" s="149" t="e">
        <f t="shared" si="17"/>
        <v>#DIV/0!</v>
      </c>
      <c r="L147" s="149" t="e">
        <f t="shared" si="17"/>
        <v>#DIV/0!</v>
      </c>
      <c r="M147" s="149" t="e">
        <f t="shared" si="17"/>
        <v>#DIV/0!</v>
      </c>
      <c r="N147" s="149" t="e">
        <f t="shared" si="17"/>
        <v>#DIV/0!</v>
      </c>
      <c r="O147" s="149" t="e">
        <f t="shared" si="17"/>
        <v>#DIV/0!</v>
      </c>
      <c r="P147" s="149" t="e">
        <f t="shared" si="17"/>
        <v>#DIV/0!</v>
      </c>
      <c r="Q147" s="149" t="e">
        <f t="shared" si="17"/>
        <v>#DIV/0!</v>
      </c>
      <c r="R147" s="148" t="e">
        <f t="shared" si="16"/>
        <v>#DIV/0!</v>
      </c>
    </row>
    <row r="148" spans="1:18" ht="15.75">
      <c r="A148" s="50" t="s">
        <v>538</v>
      </c>
      <c r="B148" s="116">
        <v>0</v>
      </c>
      <c r="C148" s="128">
        <v>0</v>
      </c>
      <c r="D148" s="117" t="s">
        <v>269</v>
      </c>
      <c r="E148" s="118">
        <f>+'ORÇ - CONSOLIDADO'!H159</f>
        <v>0</v>
      </c>
      <c r="F148" s="149" t="e">
        <f>+$E148/$E$147/12*100</f>
        <v>#DIV/0!</v>
      </c>
      <c r="G148" s="149" t="e">
        <f aca="true" t="shared" si="18" ref="G148:Q148">+$E148/$E$147/12*100</f>
        <v>#DIV/0!</v>
      </c>
      <c r="H148" s="149" t="e">
        <f t="shared" si="18"/>
        <v>#DIV/0!</v>
      </c>
      <c r="I148" s="149" t="e">
        <f t="shared" si="18"/>
        <v>#DIV/0!</v>
      </c>
      <c r="J148" s="149" t="e">
        <f t="shared" si="18"/>
        <v>#DIV/0!</v>
      </c>
      <c r="K148" s="149" t="e">
        <f t="shared" si="18"/>
        <v>#DIV/0!</v>
      </c>
      <c r="L148" s="149" t="e">
        <f t="shared" si="18"/>
        <v>#DIV/0!</v>
      </c>
      <c r="M148" s="149" t="e">
        <f t="shared" si="18"/>
        <v>#DIV/0!</v>
      </c>
      <c r="N148" s="149" t="e">
        <f t="shared" si="18"/>
        <v>#DIV/0!</v>
      </c>
      <c r="O148" s="149" t="e">
        <f t="shared" si="18"/>
        <v>#DIV/0!</v>
      </c>
      <c r="P148" s="149" t="e">
        <f t="shared" si="18"/>
        <v>#DIV/0!</v>
      </c>
      <c r="Q148" s="149" t="e">
        <f t="shared" si="18"/>
        <v>#DIV/0!</v>
      </c>
      <c r="R148" s="148" t="e">
        <f t="shared" si="16"/>
        <v>#DIV/0!</v>
      </c>
    </row>
    <row r="149" spans="1:18" ht="15.75">
      <c r="A149" s="57" t="s">
        <v>539</v>
      </c>
      <c r="B149" s="51" t="s">
        <v>253</v>
      </c>
      <c r="C149" s="130" t="s">
        <v>90</v>
      </c>
      <c r="D149" s="53" t="e">
        <f>VLOOKUP(C149,#REF!,3,FALSE)</f>
        <v>#REF!</v>
      </c>
      <c r="E149" s="111">
        <f>+'ORÇ - CONSOLIDADO'!H160</f>
        <v>0</v>
      </c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148">
        <f t="shared" si="16"/>
        <v>0</v>
      </c>
    </row>
    <row r="150" spans="1:18" ht="15.75">
      <c r="A150" s="56" t="s">
        <v>540</v>
      </c>
      <c r="B150" s="55" t="s">
        <v>253</v>
      </c>
      <c r="C150" s="129" t="s">
        <v>71</v>
      </c>
      <c r="D150" s="53" t="e">
        <f>VLOOKUP(C150,#REF!,3,FALSE)</f>
        <v>#REF!</v>
      </c>
      <c r="E150" s="111">
        <f>+'ORÇ - CONSOLIDADO'!H161</f>
        <v>0</v>
      </c>
      <c r="F150" s="149"/>
      <c r="G150" s="149"/>
      <c r="H150" s="149"/>
      <c r="I150" s="149"/>
      <c r="J150" s="149"/>
      <c r="K150" s="149"/>
      <c r="L150" s="149"/>
      <c r="M150" s="149"/>
      <c r="N150" s="149"/>
      <c r="O150" s="149"/>
      <c r="P150" s="149"/>
      <c r="Q150" s="149"/>
      <c r="R150" s="148">
        <f t="shared" si="16"/>
        <v>0</v>
      </c>
    </row>
    <row r="151" spans="1:18" ht="15.75">
      <c r="A151" s="56" t="s">
        <v>814</v>
      </c>
      <c r="B151" s="55" t="s">
        <v>253</v>
      </c>
      <c r="C151" s="129" t="s">
        <v>69</v>
      </c>
      <c r="D151" s="53" t="e">
        <f>VLOOKUP(C151,#REF!,3,FALSE)</f>
        <v>#REF!</v>
      </c>
      <c r="E151" s="111">
        <f>+'ORÇ - CONSOLIDADO'!H162</f>
        <v>0</v>
      </c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148">
        <f t="shared" si="16"/>
        <v>0</v>
      </c>
    </row>
    <row r="152" spans="1:18" ht="15.75">
      <c r="A152" s="56" t="s">
        <v>815</v>
      </c>
      <c r="B152" s="55" t="s">
        <v>253</v>
      </c>
      <c r="C152" s="129" t="s">
        <v>72</v>
      </c>
      <c r="D152" s="53" t="e">
        <f>VLOOKUP(C152,#REF!,3,FALSE)</f>
        <v>#REF!</v>
      </c>
      <c r="E152" s="111">
        <f>+'ORÇ - CONSOLIDADO'!H163</f>
        <v>0</v>
      </c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148">
        <f t="shared" si="16"/>
        <v>0</v>
      </c>
    </row>
    <row r="153" spans="1:18" ht="15.75">
      <c r="A153" s="50" t="s">
        <v>696</v>
      </c>
      <c r="B153" s="116">
        <v>0</v>
      </c>
      <c r="C153" s="128">
        <v>0</v>
      </c>
      <c r="D153" s="117" t="s">
        <v>270</v>
      </c>
      <c r="E153" s="118" t="e">
        <f>+'ORÇ - CONSOLIDADO'!#REF!</f>
        <v>#REF!</v>
      </c>
      <c r="F153" s="33"/>
      <c r="G153" s="149" t="e">
        <f>+$E153/$E$147/2*100</f>
        <v>#REF!</v>
      </c>
      <c r="H153" s="33"/>
      <c r="I153" s="33"/>
      <c r="J153" s="33"/>
      <c r="K153" s="33"/>
      <c r="L153" s="33"/>
      <c r="M153" s="33"/>
      <c r="N153" s="33"/>
      <c r="O153" s="33"/>
      <c r="P153" s="149" t="e">
        <f>+$E153/$E$147/2*100</f>
        <v>#REF!</v>
      </c>
      <c r="Q153" s="33"/>
      <c r="R153" s="148" t="e">
        <f t="shared" si="16"/>
        <v>#REF!</v>
      </c>
    </row>
    <row r="154" spans="1:18" ht="15.75">
      <c r="A154" s="57" t="s">
        <v>703</v>
      </c>
      <c r="B154" s="51" t="s">
        <v>253</v>
      </c>
      <c r="C154" s="130" t="s">
        <v>90</v>
      </c>
      <c r="D154" s="53" t="e">
        <f>VLOOKUP(C154,#REF!,3,FALSE)</f>
        <v>#REF!</v>
      </c>
      <c r="E154" s="111" t="e">
        <f>+'ORÇ - CONSOLIDADO'!#REF!</f>
        <v>#REF!</v>
      </c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148">
        <f t="shared" si="16"/>
        <v>0</v>
      </c>
    </row>
    <row r="155" spans="1:18" ht="15.75">
      <c r="A155" s="56" t="s">
        <v>704</v>
      </c>
      <c r="B155" s="55" t="s">
        <v>253</v>
      </c>
      <c r="C155" s="129" t="s">
        <v>71</v>
      </c>
      <c r="D155" s="53" t="e">
        <f>VLOOKUP(C155,#REF!,3,FALSE)</f>
        <v>#REF!</v>
      </c>
      <c r="E155" s="111" t="e">
        <f>+'ORÇ - CONSOLIDADO'!#REF!</f>
        <v>#REF!</v>
      </c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148">
        <f t="shared" si="16"/>
        <v>0</v>
      </c>
    </row>
    <row r="156" spans="1:18" ht="15.75">
      <c r="A156" s="56" t="s">
        <v>816</v>
      </c>
      <c r="B156" s="55" t="s">
        <v>253</v>
      </c>
      <c r="C156" s="129" t="s">
        <v>69</v>
      </c>
      <c r="D156" s="53" t="e">
        <f>VLOOKUP(C156,#REF!,3,FALSE)</f>
        <v>#REF!</v>
      </c>
      <c r="E156" s="111" t="e">
        <f>+'ORÇ - CONSOLIDADO'!#REF!</f>
        <v>#REF!</v>
      </c>
      <c r="F156" s="33"/>
      <c r="G156" s="33"/>
      <c r="H156" s="33"/>
      <c r="I156" s="33"/>
      <c r="J156" s="33"/>
      <c r="K156" s="33"/>
      <c r="L156" s="33"/>
      <c r="M156" s="33"/>
      <c r="N156" s="149"/>
      <c r="O156" s="149"/>
      <c r="P156" s="149"/>
      <c r="Q156" s="149"/>
      <c r="R156" s="148">
        <f t="shared" si="16"/>
        <v>0</v>
      </c>
    </row>
    <row r="157" spans="1:18" ht="15.75">
      <c r="A157" s="56" t="s">
        <v>817</v>
      </c>
      <c r="B157" s="55" t="s">
        <v>253</v>
      </c>
      <c r="C157" s="129" t="s">
        <v>72</v>
      </c>
      <c r="D157" s="53" t="e">
        <f>VLOOKUP(C157,#REF!,3,FALSE)</f>
        <v>#REF!</v>
      </c>
      <c r="E157" s="111" t="e">
        <f>+'ORÇ - CONSOLIDADO'!#REF!</f>
        <v>#REF!</v>
      </c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148">
        <f t="shared" si="16"/>
        <v>0</v>
      </c>
    </row>
    <row r="158" spans="1:18" ht="15.75">
      <c r="A158" s="50" t="s">
        <v>697</v>
      </c>
      <c r="B158" s="116">
        <v>0</v>
      </c>
      <c r="C158" s="128">
        <v>0</v>
      </c>
      <c r="D158" s="117" t="s">
        <v>271</v>
      </c>
      <c r="E158" s="118">
        <f>+'ORÇ - CONSOLIDADO'!H176</f>
        <v>0</v>
      </c>
      <c r="F158" s="33"/>
      <c r="G158" s="149" t="e">
        <f>+$E158/$E$147/2*100</f>
        <v>#DIV/0!</v>
      </c>
      <c r="H158" s="33"/>
      <c r="I158" s="33"/>
      <c r="J158" s="33"/>
      <c r="K158" s="33"/>
      <c r="L158" s="33"/>
      <c r="M158" s="33"/>
      <c r="N158" s="33"/>
      <c r="O158" s="33"/>
      <c r="P158" s="149" t="e">
        <f>+$E158/$E$147/2*100</f>
        <v>#DIV/0!</v>
      </c>
      <c r="Q158" s="33"/>
      <c r="R158" s="148" t="e">
        <f t="shared" si="16"/>
        <v>#DIV/0!</v>
      </c>
    </row>
    <row r="159" spans="1:18" ht="15.75">
      <c r="A159" s="57" t="s">
        <v>705</v>
      </c>
      <c r="B159" s="51" t="s">
        <v>253</v>
      </c>
      <c r="C159" s="130" t="s">
        <v>90</v>
      </c>
      <c r="D159" s="53" t="e">
        <f>VLOOKUP(C159,#REF!,3,FALSE)</f>
        <v>#REF!</v>
      </c>
      <c r="E159" s="111">
        <f>+'ORÇ - CONSOLIDADO'!H177</f>
        <v>0</v>
      </c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148">
        <f t="shared" si="16"/>
        <v>0</v>
      </c>
    </row>
    <row r="160" spans="1:18" ht="15.75">
      <c r="A160" s="56" t="s">
        <v>706</v>
      </c>
      <c r="B160" s="55" t="s">
        <v>253</v>
      </c>
      <c r="C160" s="129" t="s">
        <v>71</v>
      </c>
      <c r="D160" s="53" t="e">
        <f>VLOOKUP(C160,#REF!,3,FALSE)</f>
        <v>#REF!</v>
      </c>
      <c r="E160" s="111">
        <f>+'ORÇ - CONSOLIDADO'!H178</f>
        <v>0</v>
      </c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148">
        <f t="shared" si="16"/>
        <v>0</v>
      </c>
    </row>
    <row r="161" spans="1:18" ht="15.75">
      <c r="A161" s="56" t="s">
        <v>818</v>
      </c>
      <c r="B161" s="55" t="s">
        <v>253</v>
      </c>
      <c r="C161" s="129" t="s">
        <v>69</v>
      </c>
      <c r="D161" s="53" t="e">
        <f>VLOOKUP(C161,#REF!,3,FALSE)</f>
        <v>#REF!</v>
      </c>
      <c r="E161" s="111">
        <f>+'ORÇ - CONSOLIDADO'!H179</f>
        <v>0</v>
      </c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148">
        <f t="shared" si="16"/>
        <v>0</v>
      </c>
    </row>
    <row r="162" spans="1:18" ht="15.75">
      <c r="A162" s="56" t="s">
        <v>819</v>
      </c>
      <c r="B162" s="55" t="s">
        <v>253</v>
      </c>
      <c r="C162" s="129" t="s">
        <v>72</v>
      </c>
      <c r="D162" s="53" t="e">
        <f>VLOOKUP(C162,#REF!,3,FALSE)</f>
        <v>#REF!</v>
      </c>
      <c r="E162" s="111">
        <f>+'ORÇ - CONSOLIDADO'!H180</f>
        <v>0</v>
      </c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148">
        <f t="shared" si="16"/>
        <v>0</v>
      </c>
    </row>
    <row r="163" spans="1:18" ht="15.75">
      <c r="A163" s="52"/>
      <c r="B163" s="58">
        <v>0</v>
      </c>
      <c r="C163" s="133">
        <v>0</v>
      </c>
      <c r="D163" s="58">
        <v>0</v>
      </c>
      <c r="E163" s="113">
        <f>+'ORÇ - CONSOLIDADO'!H181</f>
        <v>0</v>
      </c>
      <c r="F163" s="33"/>
      <c r="G163" s="33"/>
      <c r="H163" s="33"/>
      <c r="I163" s="33"/>
      <c r="J163" s="33"/>
      <c r="K163" s="33"/>
      <c r="L163" s="33"/>
      <c r="M163" s="33"/>
      <c r="N163" s="149"/>
      <c r="O163" s="149"/>
      <c r="P163" s="149"/>
      <c r="Q163" s="149"/>
      <c r="R163" s="148">
        <f t="shared" si="16"/>
        <v>0</v>
      </c>
    </row>
    <row r="164" spans="1:18" ht="15.75">
      <c r="A164" s="50" t="s">
        <v>697</v>
      </c>
      <c r="B164" s="116">
        <v>0</v>
      </c>
      <c r="C164" s="128">
        <v>0</v>
      </c>
      <c r="D164" s="117" t="s">
        <v>780</v>
      </c>
      <c r="E164" s="118">
        <f>+'ORÇ - CONSOLIDADO'!H182</f>
        <v>0</v>
      </c>
      <c r="F164" s="33"/>
      <c r="G164" s="149"/>
      <c r="H164" s="149" t="e">
        <f>+$E164/$E$147/1*100</f>
        <v>#DIV/0!</v>
      </c>
      <c r="I164" s="33"/>
      <c r="J164" s="33"/>
      <c r="K164" s="33"/>
      <c r="L164" s="33"/>
      <c r="M164" s="33"/>
      <c r="N164" s="33"/>
      <c r="O164" s="33"/>
      <c r="P164" s="149"/>
      <c r="Q164" s="33"/>
      <c r="R164" s="148" t="e">
        <f t="shared" si="16"/>
        <v>#DIV/0!</v>
      </c>
    </row>
    <row r="165" spans="1:18" ht="15.75">
      <c r="A165" s="57" t="s">
        <v>705</v>
      </c>
      <c r="B165" s="51" t="s">
        <v>253</v>
      </c>
      <c r="C165" s="130" t="s">
        <v>90</v>
      </c>
      <c r="D165" s="53" t="e">
        <f>VLOOKUP(C165,#REF!,3,FALSE)</f>
        <v>#REF!</v>
      </c>
      <c r="E165" s="111">
        <f>+'ORÇ - CONSOLIDADO'!H183</f>
        <v>0</v>
      </c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148">
        <f t="shared" si="16"/>
        <v>0</v>
      </c>
    </row>
    <row r="166" spans="1:18" ht="15.75">
      <c r="A166" s="56" t="s">
        <v>706</v>
      </c>
      <c r="B166" s="55" t="s">
        <v>253</v>
      </c>
      <c r="C166" s="129" t="s">
        <v>71</v>
      </c>
      <c r="D166" s="53" t="e">
        <f>VLOOKUP(C166,#REF!,3,FALSE)</f>
        <v>#REF!</v>
      </c>
      <c r="E166" s="111">
        <f>+'ORÇ - CONSOLIDADO'!H184</f>
        <v>0</v>
      </c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148">
        <f t="shared" si="16"/>
        <v>0</v>
      </c>
    </row>
    <row r="167" spans="1:18" ht="15.75">
      <c r="A167" s="56" t="s">
        <v>818</v>
      </c>
      <c r="B167" s="55" t="s">
        <v>253</v>
      </c>
      <c r="C167" s="129" t="s">
        <v>69</v>
      </c>
      <c r="D167" s="53" t="e">
        <f>VLOOKUP(C167,#REF!,3,FALSE)</f>
        <v>#REF!</v>
      </c>
      <c r="E167" s="111">
        <f>+'ORÇ - CONSOLIDADO'!H185</f>
        <v>0</v>
      </c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148">
        <f t="shared" si="16"/>
        <v>0</v>
      </c>
    </row>
    <row r="168" spans="1:18" ht="15.75">
      <c r="A168" s="56" t="s">
        <v>819</v>
      </c>
      <c r="B168" s="55" t="s">
        <v>253</v>
      </c>
      <c r="C168" s="129" t="s">
        <v>72</v>
      </c>
      <c r="D168" s="53" t="e">
        <f>VLOOKUP(C168,#REF!,3,FALSE)</f>
        <v>#REF!</v>
      </c>
      <c r="E168" s="111">
        <f>+'ORÇ - CONSOLIDADO'!H186</f>
        <v>0</v>
      </c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148">
        <f t="shared" si="16"/>
        <v>0</v>
      </c>
    </row>
    <row r="169" spans="1:18" ht="15.75">
      <c r="A169" s="52"/>
      <c r="B169" s="58">
        <v>0</v>
      </c>
      <c r="C169" s="133">
        <v>0</v>
      </c>
      <c r="D169" s="58">
        <v>0</v>
      </c>
      <c r="E169" s="113">
        <f>+'ORÇ - CONSOLIDADO'!H187</f>
        <v>0</v>
      </c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148">
        <f t="shared" si="16"/>
        <v>0</v>
      </c>
    </row>
    <row r="170" spans="1:18" ht="15.75">
      <c r="A170" s="50" t="s">
        <v>697</v>
      </c>
      <c r="B170" s="116">
        <v>0</v>
      </c>
      <c r="C170" s="128">
        <v>0</v>
      </c>
      <c r="D170" s="117" t="s">
        <v>781</v>
      </c>
      <c r="E170" s="118">
        <f>+'ORÇ - CONSOLIDADO'!H188</f>
        <v>0</v>
      </c>
      <c r="F170" s="33"/>
      <c r="G170" s="33"/>
      <c r="H170" s="149" t="e">
        <f>+$E170/$E$147/1*100</f>
        <v>#DIV/0!</v>
      </c>
      <c r="I170" s="33"/>
      <c r="J170" s="33"/>
      <c r="K170" s="33"/>
      <c r="L170" s="33"/>
      <c r="M170" s="33"/>
      <c r="N170" s="33"/>
      <c r="O170" s="33"/>
      <c r="P170" s="33"/>
      <c r="Q170" s="33"/>
      <c r="R170" s="148" t="e">
        <f t="shared" si="16"/>
        <v>#DIV/0!</v>
      </c>
    </row>
    <row r="171" spans="1:18" ht="15.75">
      <c r="A171" s="57" t="s">
        <v>705</v>
      </c>
      <c r="B171" s="51" t="s">
        <v>253</v>
      </c>
      <c r="C171" s="130" t="s">
        <v>90</v>
      </c>
      <c r="D171" s="53" t="e">
        <f>VLOOKUP(C171,#REF!,3,FALSE)</f>
        <v>#REF!</v>
      </c>
      <c r="E171" s="111">
        <f>+'ORÇ - CONSOLIDADO'!H189</f>
        <v>0</v>
      </c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148">
        <f t="shared" si="16"/>
        <v>0</v>
      </c>
    </row>
    <row r="172" spans="1:18" ht="15.75">
      <c r="A172" s="56" t="s">
        <v>706</v>
      </c>
      <c r="B172" s="55" t="s">
        <v>253</v>
      </c>
      <c r="C172" s="129" t="s">
        <v>71</v>
      </c>
      <c r="D172" s="53" t="e">
        <f>VLOOKUP(C172,#REF!,3,FALSE)</f>
        <v>#REF!</v>
      </c>
      <c r="E172" s="111">
        <f>+'ORÇ - CONSOLIDADO'!H190</f>
        <v>0</v>
      </c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148">
        <f t="shared" si="16"/>
        <v>0</v>
      </c>
    </row>
    <row r="173" spans="1:18" ht="15.75">
      <c r="A173" s="56" t="s">
        <v>818</v>
      </c>
      <c r="B173" s="55" t="s">
        <v>253</v>
      </c>
      <c r="C173" s="129" t="s">
        <v>69</v>
      </c>
      <c r="D173" s="53" t="e">
        <f>VLOOKUP(C173,#REF!,3,FALSE)</f>
        <v>#REF!</v>
      </c>
      <c r="E173" s="111">
        <f>+'ORÇ - CONSOLIDADO'!H191</f>
        <v>0</v>
      </c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148">
        <f t="shared" si="16"/>
        <v>0</v>
      </c>
    </row>
    <row r="174" spans="1:18" ht="15.75">
      <c r="A174" s="56" t="s">
        <v>819</v>
      </c>
      <c r="B174" s="55" t="s">
        <v>253</v>
      </c>
      <c r="C174" s="129" t="s">
        <v>72</v>
      </c>
      <c r="D174" s="53" t="e">
        <f>VLOOKUP(C174,#REF!,3,FALSE)</f>
        <v>#REF!</v>
      </c>
      <c r="E174" s="111">
        <f>+'ORÇ - CONSOLIDADO'!H192</f>
        <v>0</v>
      </c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148">
        <f t="shared" si="16"/>
        <v>0</v>
      </c>
    </row>
    <row r="175" spans="1:18" ht="15.75">
      <c r="A175" s="52"/>
      <c r="B175" s="58">
        <v>0</v>
      </c>
      <c r="C175" s="133">
        <v>0</v>
      </c>
      <c r="D175" s="58">
        <v>0</v>
      </c>
      <c r="E175" s="113">
        <f>+'ORÇ - CONSOLIDADO'!H193</f>
        <v>0</v>
      </c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148">
        <f t="shared" si="16"/>
        <v>0</v>
      </c>
    </row>
    <row r="176" spans="1:18" ht="15.75">
      <c r="A176" s="59" t="s">
        <v>793</v>
      </c>
      <c r="B176" s="60">
        <v>0</v>
      </c>
      <c r="C176" s="127">
        <v>0</v>
      </c>
      <c r="D176" s="60" t="s">
        <v>279</v>
      </c>
      <c r="E176" s="112">
        <f>+E177+E181+E185+E189+E193</f>
        <v>0</v>
      </c>
      <c r="F176" s="149" t="e">
        <f>SUM(F177:F196)</f>
        <v>#DIV/0!</v>
      </c>
      <c r="G176" s="149" t="e">
        <f aca="true" t="shared" si="19" ref="G176:Q176">SUM(G177:G196)</f>
        <v>#DIV/0!</v>
      </c>
      <c r="H176" s="149" t="e">
        <f t="shared" si="19"/>
        <v>#DIV/0!</v>
      </c>
      <c r="I176" s="149" t="e">
        <f t="shared" si="19"/>
        <v>#DIV/0!</v>
      </c>
      <c r="J176" s="149" t="e">
        <f t="shared" si="19"/>
        <v>#DIV/0!</v>
      </c>
      <c r="K176" s="149" t="e">
        <f t="shared" si="19"/>
        <v>#DIV/0!</v>
      </c>
      <c r="L176" s="149" t="e">
        <f t="shared" si="19"/>
        <v>#DIV/0!</v>
      </c>
      <c r="M176" s="149" t="e">
        <f t="shared" si="19"/>
        <v>#DIV/0!</v>
      </c>
      <c r="N176" s="149" t="e">
        <f t="shared" si="19"/>
        <v>#DIV/0!</v>
      </c>
      <c r="O176" s="149" t="e">
        <f t="shared" si="19"/>
        <v>#DIV/0!</v>
      </c>
      <c r="P176" s="149" t="e">
        <f t="shared" si="19"/>
        <v>#DIV/0!</v>
      </c>
      <c r="Q176" s="149">
        <f t="shared" si="19"/>
        <v>0</v>
      </c>
      <c r="R176" s="148" t="e">
        <f t="shared" si="16"/>
        <v>#DIV/0!</v>
      </c>
    </row>
    <row r="177" spans="1:18" ht="15.75">
      <c r="A177" s="50" t="s">
        <v>541</v>
      </c>
      <c r="B177" s="116">
        <v>0</v>
      </c>
      <c r="C177" s="128"/>
      <c r="D177" s="117" t="s">
        <v>700</v>
      </c>
      <c r="E177" s="118">
        <f>+'ORÇ - CONSOLIDADO'!H195</f>
        <v>0</v>
      </c>
      <c r="F177" s="149" t="e">
        <f>+$E177/$E$176/8*100</f>
        <v>#DIV/0!</v>
      </c>
      <c r="G177" s="149" t="e">
        <f aca="true" t="shared" si="20" ref="G177:M177">+$E177/$E$176/8*100</f>
        <v>#DIV/0!</v>
      </c>
      <c r="H177" s="149" t="e">
        <f t="shared" si="20"/>
        <v>#DIV/0!</v>
      </c>
      <c r="I177" s="149" t="e">
        <f t="shared" si="20"/>
        <v>#DIV/0!</v>
      </c>
      <c r="J177" s="149" t="e">
        <f t="shared" si="20"/>
        <v>#DIV/0!</v>
      </c>
      <c r="K177" s="149" t="e">
        <f t="shared" si="20"/>
        <v>#DIV/0!</v>
      </c>
      <c r="L177" s="149" t="e">
        <f t="shared" si="20"/>
        <v>#DIV/0!</v>
      </c>
      <c r="M177" s="149" t="e">
        <f t="shared" si="20"/>
        <v>#DIV/0!</v>
      </c>
      <c r="N177" s="149"/>
      <c r="O177" s="149"/>
      <c r="P177" s="149"/>
      <c r="Q177" s="149"/>
      <c r="R177" s="148" t="e">
        <f t="shared" si="16"/>
        <v>#DIV/0!</v>
      </c>
    </row>
    <row r="178" spans="1:18" ht="15.75">
      <c r="A178" s="56" t="s">
        <v>542</v>
      </c>
      <c r="B178" s="55" t="s">
        <v>253</v>
      </c>
      <c r="C178" s="129" t="s">
        <v>297</v>
      </c>
      <c r="D178" s="53" t="e">
        <f>VLOOKUP(C178,#REF!,3,FALSE)</f>
        <v>#REF!</v>
      </c>
      <c r="E178" s="111">
        <f>+'ORÇ - CONSOLIDADO'!H196</f>
        <v>0</v>
      </c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148">
        <f t="shared" si="16"/>
        <v>0</v>
      </c>
    </row>
    <row r="179" spans="1:18" ht="15.75">
      <c r="A179" s="56" t="s">
        <v>822</v>
      </c>
      <c r="B179" s="55" t="s">
        <v>253</v>
      </c>
      <c r="C179" s="129" t="s">
        <v>318</v>
      </c>
      <c r="D179" s="53" t="e">
        <f>VLOOKUP(C179,#REF!,3,FALSE)</f>
        <v>#REF!</v>
      </c>
      <c r="E179" s="111">
        <f>+'ORÇ - CONSOLIDADO'!H197</f>
        <v>0</v>
      </c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148">
        <f t="shared" si="16"/>
        <v>0</v>
      </c>
    </row>
    <row r="180" spans="1:18" ht="15.75">
      <c r="A180" s="52"/>
      <c r="B180" s="58">
        <v>0</v>
      </c>
      <c r="C180" s="133">
        <v>0</v>
      </c>
      <c r="D180" s="58">
        <v>0</v>
      </c>
      <c r="E180" s="113">
        <f>+'ORÇ - CONSOLIDADO'!H198</f>
        <v>0</v>
      </c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148">
        <f t="shared" si="16"/>
        <v>0</v>
      </c>
    </row>
    <row r="181" spans="1:18" ht="15.75">
      <c r="A181" s="50" t="s">
        <v>543</v>
      </c>
      <c r="B181" s="116">
        <v>0</v>
      </c>
      <c r="C181" s="128"/>
      <c r="D181" s="117" t="s">
        <v>701</v>
      </c>
      <c r="E181" s="118">
        <f>+'ORÇ - CONSOLIDADO'!H199</f>
        <v>0</v>
      </c>
      <c r="F181" s="33"/>
      <c r="G181" s="33"/>
      <c r="H181" s="33"/>
      <c r="I181" s="149" t="e">
        <f>+$E181/$E$176/2*100</f>
        <v>#DIV/0!</v>
      </c>
      <c r="J181" s="149" t="e">
        <f>+$E181/$E$176/2*100</f>
        <v>#DIV/0!</v>
      </c>
      <c r="K181" s="33"/>
      <c r="L181" s="33"/>
      <c r="M181" s="33"/>
      <c r="N181" s="33"/>
      <c r="O181" s="33"/>
      <c r="P181" s="33"/>
      <c r="Q181" s="33"/>
      <c r="R181" s="148" t="e">
        <f t="shared" si="16"/>
        <v>#DIV/0!</v>
      </c>
    </row>
    <row r="182" spans="1:18" ht="15.75">
      <c r="A182" s="56" t="s">
        <v>544</v>
      </c>
      <c r="B182" s="55" t="s">
        <v>253</v>
      </c>
      <c r="C182" s="129" t="s">
        <v>702</v>
      </c>
      <c r="D182" s="53" t="e">
        <f>VLOOKUP(C182,#REF!,3,FALSE)</f>
        <v>#REF!</v>
      </c>
      <c r="E182" s="111">
        <f>+'ORÇ - CONSOLIDADO'!H200</f>
        <v>0</v>
      </c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148">
        <f t="shared" si="16"/>
        <v>0</v>
      </c>
    </row>
    <row r="183" spans="1:18" ht="15.75">
      <c r="A183" s="56" t="s">
        <v>572</v>
      </c>
      <c r="B183" s="55" t="s">
        <v>253</v>
      </c>
      <c r="C183" s="129" t="s">
        <v>709</v>
      </c>
      <c r="D183" s="53" t="e">
        <f>VLOOKUP(C183,#REF!,3,FALSE)</f>
        <v>#REF!</v>
      </c>
      <c r="E183" s="111">
        <f>+'ORÇ - CONSOLIDADO'!H201</f>
        <v>0</v>
      </c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148">
        <f t="shared" si="16"/>
        <v>0</v>
      </c>
    </row>
    <row r="184" spans="1:18" ht="15.75">
      <c r="A184" s="52"/>
      <c r="B184" s="58">
        <v>0</v>
      </c>
      <c r="C184" s="133">
        <v>0</v>
      </c>
      <c r="D184" s="58">
        <v>0</v>
      </c>
      <c r="E184" s="113">
        <f>+'ORÇ - CONSOLIDADO'!H202</f>
        <v>0</v>
      </c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148">
        <f t="shared" si="16"/>
        <v>0</v>
      </c>
    </row>
    <row r="185" spans="1:18" ht="15.75">
      <c r="A185" s="50" t="s">
        <v>573</v>
      </c>
      <c r="B185" s="116">
        <v>0</v>
      </c>
      <c r="C185" s="128"/>
      <c r="D185" s="117" t="s">
        <v>707</v>
      </c>
      <c r="E185" s="118">
        <f>+'ORÇ - CONSOLIDADO'!H203</f>
        <v>0</v>
      </c>
      <c r="F185" s="33"/>
      <c r="G185" s="33"/>
      <c r="H185" s="33"/>
      <c r="I185" s="33"/>
      <c r="J185" s="33"/>
      <c r="K185" s="149" t="e">
        <f>+$E185/$E$176/2*100</f>
        <v>#DIV/0!</v>
      </c>
      <c r="L185" s="149" t="e">
        <f>+$E185/$E$176/2*100</f>
        <v>#DIV/0!</v>
      </c>
      <c r="M185" s="33"/>
      <c r="N185" s="33"/>
      <c r="O185" s="33"/>
      <c r="P185" s="33"/>
      <c r="Q185" s="33"/>
      <c r="R185" s="148" t="e">
        <f t="shared" si="16"/>
        <v>#DIV/0!</v>
      </c>
    </row>
    <row r="186" spans="1:18" ht="15.75">
      <c r="A186" s="56" t="s">
        <v>574</v>
      </c>
      <c r="B186" s="55" t="s">
        <v>253</v>
      </c>
      <c r="C186" s="129" t="s">
        <v>702</v>
      </c>
      <c r="D186" s="53" t="e">
        <f>VLOOKUP(C186,#REF!,3,FALSE)</f>
        <v>#REF!</v>
      </c>
      <c r="E186" s="111">
        <f>+'ORÇ - CONSOLIDADO'!H204</f>
        <v>0</v>
      </c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148">
        <f t="shared" si="16"/>
        <v>0</v>
      </c>
    </row>
    <row r="187" spans="1:18" ht="15.75">
      <c r="A187" s="56" t="s">
        <v>575</v>
      </c>
      <c r="B187" s="55" t="s">
        <v>253</v>
      </c>
      <c r="C187" s="129" t="s">
        <v>709</v>
      </c>
      <c r="D187" s="53" t="e">
        <f>VLOOKUP(C187,#REF!,3,FALSE)</f>
        <v>#REF!</v>
      </c>
      <c r="E187" s="111">
        <f>+'ORÇ - CONSOLIDADO'!H205</f>
        <v>0</v>
      </c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148">
        <f t="shared" si="16"/>
        <v>0</v>
      </c>
    </row>
    <row r="188" spans="1:18" ht="15.75">
      <c r="A188" s="52"/>
      <c r="B188" s="58">
        <v>0</v>
      </c>
      <c r="C188" s="133">
        <v>0</v>
      </c>
      <c r="D188" s="58">
        <v>0</v>
      </c>
      <c r="E188" s="113">
        <f>+'ORÇ - CONSOLIDADO'!H206</f>
        <v>0</v>
      </c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148">
        <f t="shared" si="16"/>
        <v>0</v>
      </c>
    </row>
    <row r="189" spans="1:18" ht="15.75">
      <c r="A189" s="50" t="s">
        <v>739</v>
      </c>
      <c r="B189" s="116">
        <v>0</v>
      </c>
      <c r="C189" s="128"/>
      <c r="D189" s="117" t="s">
        <v>1013</v>
      </c>
      <c r="E189" s="118">
        <f>SUM(E190:E192)</f>
        <v>0</v>
      </c>
      <c r="F189" s="33"/>
      <c r="G189" s="33"/>
      <c r="H189" s="149" t="e">
        <f>+$E189/$E$176/8*100</f>
        <v>#DIV/0!</v>
      </c>
      <c r="I189" s="149" t="e">
        <f aca="true" t="shared" si="21" ref="I189:O189">+$E189/$E$176/8*100</f>
        <v>#DIV/0!</v>
      </c>
      <c r="J189" s="149" t="e">
        <f t="shared" si="21"/>
        <v>#DIV/0!</v>
      </c>
      <c r="K189" s="149" t="e">
        <f t="shared" si="21"/>
        <v>#DIV/0!</v>
      </c>
      <c r="L189" s="149" t="e">
        <f t="shared" si="21"/>
        <v>#DIV/0!</v>
      </c>
      <c r="M189" s="149" t="e">
        <f t="shared" si="21"/>
        <v>#DIV/0!</v>
      </c>
      <c r="N189" s="149" t="e">
        <f t="shared" si="21"/>
        <v>#DIV/0!</v>
      </c>
      <c r="O189" s="149" t="e">
        <f t="shared" si="21"/>
        <v>#DIV/0!</v>
      </c>
      <c r="P189" s="33"/>
      <c r="Q189" s="33"/>
      <c r="R189" s="148" t="e">
        <f t="shared" si="16"/>
        <v>#DIV/0!</v>
      </c>
    </row>
    <row r="190" spans="1:18" ht="15.75">
      <c r="A190" s="56" t="s">
        <v>823</v>
      </c>
      <c r="B190" s="55" t="s">
        <v>253</v>
      </c>
      <c r="C190" s="129" t="s">
        <v>702</v>
      </c>
      <c r="D190" s="53" t="e">
        <f>VLOOKUP(C190,#REF!,3,FALSE)</f>
        <v>#REF!</v>
      </c>
      <c r="E190" s="111">
        <f>+'ORÇ - CONSOLIDADO'!H208</f>
        <v>0</v>
      </c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148">
        <f t="shared" si="16"/>
        <v>0</v>
      </c>
    </row>
    <row r="191" spans="1:18" ht="15.75">
      <c r="A191" s="56" t="s">
        <v>824</v>
      </c>
      <c r="B191" s="55" t="s">
        <v>253</v>
      </c>
      <c r="C191" s="129" t="s">
        <v>709</v>
      </c>
      <c r="D191" s="53" t="e">
        <f>VLOOKUP(C191,#REF!,3,FALSE)</f>
        <v>#REF!</v>
      </c>
      <c r="E191" s="111">
        <f>+'ORÇ - CONSOLIDADO'!H209</f>
        <v>0</v>
      </c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148">
        <f t="shared" si="16"/>
        <v>0</v>
      </c>
    </row>
    <row r="192" spans="1:18" ht="15.75">
      <c r="A192" s="52"/>
      <c r="B192" s="58">
        <v>0</v>
      </c>
      <c r="C192" s="133">
        <v>0</v>
      </c>
      <c r="D192" s="58">
        <v>0</v>
      </c>
      <c r="E192" s="113">
        <f>+'ORÇ - CONSOLIDADO'!H210</f>
        <v>0</v>
      </c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148">
        <f t="shared" si="16"/>
        <v>0</v>
      </c>
    </row>
    <row r="193" spans="1:18" ht="15.75">
      <c r="A193" s="50" t="s">
        <v>1014</v>
      </c>
      <c r="B193" s="116">
        <v>0</v>
      </c>
      <c r="C193" s="128"/>
      <c r="D193" s="117" t="s">
        <v>1017</v>
      </c>
      <c r="E193" s="118">
        <f>SUM(E194:E196)</f>
        <v>0</v>
      </c>
      <c r="F193" s="33"/>
      <c r="G193" s="33"/>
      <c r="H193" s="149" t="e">
        <f>+$E193/$E$176/2*100</f>
        <v>#DIV/0!</v>
      </c>
      <c r="I193" s="33"/>
      <c r="J193" s="33"/>
      <c r="K193" s="33"/>
      <c r="L193" s="33"/>
      <c r="M193" s="33"/>
      <c r="N193" s="33"/>
      <c r="O193" s="33"/>
      <c r="P193" s="149" t="e">
        <f>+$E193/$E$176/2*100</f>
        <v>#DIV/0!</v>
      </c>
      <c r="Q193" s="33"/>
      <c r="R193" s="148" t="e">
        <f t="shared" si="16"/>
        <v>#DIV/0!</v>
      </c>
    </row>
    <row r="194" spans="1:18" ht="15.75">
      <c r="A194" s="56" t="s">
        <v>1015</v>
      </c>
      <c r="B194" s="55" t="s">
        <v>253</v>
      </c>
      <c r="C194" s="129" t="s">
        <v>702</v>
      </c>
      <c r="D194" s="53" t="e">
        <f>VLOOKUP(C194,#REF!,3,FALSE)</f>
        <v>#REF!</v>
      </c>
      <c r="E194" s="111">
        <f>+'ORÇ - CONSOLIDADO'!H212</f>
        <v>0</v>
      </c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148">
        <f t="shared" si="16"/>
        <v>0</v>
      </c>
    </row>
    <row r="195" spans="1:18" ht="15.75">
      <c r="A195" s="56" t="s">
        <v>1016</v>
      </c>
      <c r="B195" s="55" t="s">
        <v>253</v>
      </c>
      <c r="C195" s="129" t="s">
        <v>709</v>
      </c>
      <c r="D195" s="53" t="e">
        <f>VLOOKUP(C195,#REF!,3,FALSE)</f>
        <v>#REF!</v>
      </c>
      <c r="E195" s="111">
        <f>+'ORÇ - CONSOLIDADO'!H213</f>
        <v>0</v>
      </c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148">
        <f t="shared" si="16"/>
        <v>0</v>
      </c>
    </row>
    <row r="196" spans="1:18" ht="15.75">
      <c r="A196" s="52"/>
      <c r="B196" s="58">
        <v>0</v>
      </c>
      <c r="C196" s="133">
        <v>0</v>
      </c>
      <c r="D196" s="58">
        <v>0</v>
      </c>
      <c r="E196" s="113">
        <f>+'ORÇ - CONSOLIDADO'!H214</f>
        <v>0</v>
      </c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148">
        <f t="shared" si="16"/>
        <v>0</v>
      </c>
    </row>
    <row r="197" spans="1:18" ht="15.75">
      <c r="A197" s="59" t="s">
        <v>794</v>
      </c>
      <c r="B197" s="60">
        <v>0</v>
      </c>
      <c r="C197" s="127">
        <v>0</v>
      </c>
      <c r="D197" s="60" t="s">
        <v>294</v>
      </c>
      <c r="E197" s="112">
        <f>+'ORÇ - CONSOLIDADO'!H215</f>
        <v>0</v>
      </c>
      <c r="F197" s="149">
        <f>SUM(F198:F207)</f>
        <v>0</v>
      </c>
      <c r="G197" s="149">
        <f>SUM(G198:G207)</f>
        <v>0</v>
      </c>
      <c r="H197" s="149" t="e">
        <f>SUM(H198:H207)</f>
        <v>#DIV/0!</v>
      </c>
      <c r="I197" s="149" t="e">
        <f aca="true" t="shared" si="22" ref="I197:Q197">SUM(I198:I207)</f>
        <v>#DIV/0!</v>
      </c>
      <c r="J197" s="149" t="e">
        <f t="shared" si="22"/>
        <v>#DIV/0!</v>
      </c>
      <c r="K197" s="149" t="e">
        <f t="shared" si="22"/>
        <v>#DIV/0!</v>
      </c>
      <c r="L197" s="149" t="e">
        <f t="shared" si="22"/>
        <v>#DIV/0!</v>
      </c>
      <c r="M197" s="149" t="e">
        <f t="shared" si="22"/>
        <v>#DIV/0!</v>
      </c>
      <c r="N197" s="149" t="e">
        <f t="shared" si="22"/>
        <v>#DIV/0!</v>
      </c>
      <c r="O197" s="149" t="e">
        <f t="shared" si="22"/>
        <v>#DIV/0!</v>
      </c>
      <c r="P197" s="149" t="e">
        <f t="shared" si="22"/>
        <v>#DIV/0!</v>
      </c>
      <c r="Q197" s="149">
        <f t="shared" si="22"/>
        <v>0</v>
      </c>
      <c r="R197" s="148" t="e">
        <f aca="true" t="shared" si="23" ref="R197:R224">SUM(F197:Q197)</f>
        <v>#DIV/0!</v>
      </c>
    </row>
    <row r="198" spans="1:18" ht="15.75">
      <c r="A198" s="50" t="s">
        <v>545</v>
      </c>
      <c r="B198" s="116">
        <v>0</v>
      </c>
      <c r="C198" s="128" t="s">
        <v>295</v>
      </c>
      <c r="D198" s="151" t="e">
        <f>VLOOKUP(C198,#REF!,3,FALSE)</f>
        <v>#REF!</v>
      </c>
      <c r="E198" s="118">
        <f>+'ORÇ - CONSOLIDADO'!H216</f>
        <v>0</v>
      </c>
      <c r="F198" s="33"/>
      <c r="G198" s="33"/>
      <c r="H198" s="149" t="e">
        <f>+$E198/$E$197/8*100</f>
        <v>#DIV/0!</v>
      </c>
      <c r="I198" s="149" t="e">
        <f aca="true" t="shared" si="24" ref="I198:O200">+$E198/$E$197/8*100</f>
        <v>#DIV/0!</v>
      </c>
      <c r="J198" s="149" t="e">
        <f t="shared" si="24"/>
        <v>#DIV/0!</v>
      </c>
      <c r="K198" s="149" t="e">
        <f t="shared" si="24"/>
        <v>#DIV/0!</v>
      </c>
      <c r="L198" s="149" t="e">
        <f t="shared" si="24"/>
        <v>#DIV/0!</v>
      </c>
      <c r="M198" s="149" t="e">
        <f t="shared" si="24"/>
        <v>#DIV/0!</v>
      </c>
      <c r="N198" s="149" t="e">
        <f t="shared" si="24"/>
        <v>#DIV/0!</v>
      </c>
      <c r="O198" s="149" t="e">
        <f t="shared" si="24"/>
        <v>#DIV/0!</v>
      </c>
      <c r="P198" s="33"/>
      <c r="Q198" s="33"/>
      <c r="R198" s="148" t="e">
        <f t="shared" si="23"/>
        <v>#DIV/0!</v>
      </c>
    </row>
    <row r="199" spans="1:18" ht="15.75">
      <c r="A199" s="56" t="s">
        <v>546</v>
      </c>
      <c r="B199" s="55" t="s">
        <v>253</v>
      </c>
      <c r="C199" s="152" t="s">
        <v>432</v>
      </c>
      <c r="D199" s="53" t="e">
        <f>VLOOKUP(C199,#REF!,3,FALSE)</f>
        <v>#REF!</v>
      </c>
      <c r="E199" s="111">
        <f>+'ORÇ - CONSOLIDADO'!H217</f>
        <v>0</v>
      </c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148">
        <f t="shared" si="23"/>
        <v>0</v>
      </c>
    </row>
    <row r="200" spans="1:18" ht="15.75">
      <c r="A200" s="50" t="s">
        <v>547</v>
      </c>
      <c r="B200" s="116">
        <v>0</v>
      </c>
      <c r="C200" s="128" t="s">
        <v>197</v>
      </c>
      <c r="D200" s="151" t="e">
        <f>VLOOKUP(C200,#REF!,3,FALSE)</f>
        <v>#REF!</v>
      </c>
      <c r="E200" s="118">
        <f>+'ORÇ - CONSOLIDADO'!H218</f>
        <v>0</v>
      </c>
      <c r="F200" s="33"/>
      <c r="G200" s="33"/>
      <c r="H200" s="149" t="e">
        <f>+$E200/$E$197/8*100</f>
        <v>#DIV/0!</v>
      </c>
      <c r="I200" s="149" t="e">
        <f t="shared" si="24"/>
        <v>#DIV/0!</v>
      </c>
      <c r="J200" s="149" t="e">
        <f t="shared" si="24"/>
        <v>#DIV/0!</v>
      </c>
      <c r="K200" s="149" t="e">
        <f t="shared" si="24"/>
        <v>#DIV/0!</v>
      </c>
      <c r="L200" s="149" t="e">
        <f t="shared" si="24"/>
        <v>#DIV/0!</v>
      </c>
      <c r="M200" s="149" t="e">
        <f t="shared" si="24"/>
        <v>#DIV/0!</v>
      </c>
      <c r="N200" s="149" t="e">
        <f t="shared" si="24"/>
        <v>#DIV/0!</v>
      </c>
      <c r="O200" s="149" t="e">
        <f t="shared" si="24"/>
        <v>#DIV/0!</v>
      </c>
      <c r="P200" s="33"/>
      <c r="Q200" s="33"/>
      <c r="R200" s="148" t="e">
        <f t="shared" si="23"/>
        <v>#DIV/0!</v>
      </c>
    </row>
    <row r="201" spans="1:18" ht="15.75">
      <c r="A201" s="56" t="s">
        <v>548</v>
      </c>
      <c r="B201" s="55" t="s">
        <v>253</v>
      </c>
      <c r="C201" s="129" t="s">
        <v>199</v>
      </c>
      <c r="D201" s="53" t="e">
        <f>VLOOKUP(C201,#REF!,3,FALSE)</f>
        <v>#REF!</v>
      </c>
      <c r="E201" s="111">
        <f>+'ORÇ - CONSOLIDADO'!H219</f>
        <v>0</v>
      </c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148">
        <f t="shared" si="23"/>
        <v>0</v>
      </c>
    </row>
    <row r="202" spans="1:18" ht="15.75">
      <c r="A202" s="56" t="s">
        <v>549</v>
      </c>
      <c r="B202" s="55" t="s">
        <v>253</v>
      </c>
      <c r="C202" s="129" t="s">
        <v>433</v>
      </c>
      <c r="D202" s="53" t="e">
        <f>VLOOKUP(C202,#REF!,3,FALSE)</f>
        <v>#REF!</v>
      </c>
      <c r="E202" s="111">
        <f>+'ORÇ - CONSOLIDADO'!H220</f>
        <v>0</v>
      </c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148">
        <f t="shared" si="23"/>
        <v>0</v>
      </c>
    </row>
    <row r="203" spans="1:18" ht="15.75">
      <c r="A203" s="56"/>
      <c r="B203" s="55"/>
      <c r="C203" s="129"/>
      <c r="D203" s="53"/>
      <c r="E203" s="111">
        <f>+'ORÇ - CONSOLIDADO'!H221</f>
        <v>0</v>
      </c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148">
        <f t="shared" si="23"/>
        <v>0</v>
      </c>
    </row>
    <row r="204" spans="1:18" ht="15.75">
      <c r="A204" s="50" t="s">
        <v>630</v>
      </c>
      <c r="B204" s="116">
        <v>0</v>
      </c>
      <c r="C204" s="128" t="s">
        <v>197</v>
      </c>
      <c r="D204" s="151" t="e">
        <f>VLOOKUP(C204,#REF!,3,FALSE)</f>
        <v>#REF!</v>
      </c>
      <c r="E204" s="118">
        <f>+'ORÇ - CONSOLIDADO'!H222</f>
        <v>0</v>
      </c>
      <c r="F204" s="33"/>
      <c r="G204" s="33"/>
      <c r="H204" s="33"/>
      <c r="I204" s="33"/>
      <c r="J204" s="33"/>
      <c r="K204" s="149" t="e">
        <f>+$E204/$E$197/2*100</f>
        <v>#DIV/0!</v>
      </c>
      <c r="L204" s="149"/>
      <c r="M204" s="33"/>
      <c r="N204" s="33"/>
      <c r="O204" s="33"/>
      <c r="P204" s="149" t="e">
        <f>+$E204/$E$197/2*100</f>
        <v>#DIV/0!</v>
      </c>
      <c r="Q204" s="33"/>
      <c r="R204" s="148" t="e">
        <f t="shared" si="23"/>
        <v>#DIV/0!</v>
      </c>
    </row>
    <row r="205" spans="1:18" ht="15.75">
      <c r="A205" s="56" t="s">
        <v>631</v>
      </c>
      <c r="B205" s="55" t="s">
        <v>253</v>
      </c>
      <c r="C205" s="129" t="s">
        <v>434</v>
      </c>
      <c r="D205" s="53" t="e">
        <f>VLOOKUP(C205,#REF!,3,FALSE)</f>
        <v>#REF!</v>
      </c>
      <c r="E205" s="111">
        <f>+'ORÇ - CONSOLIDADO'!H223</f>
        <v>0</v>
      </c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148">
        <f t="shared" si="23"/>
        <v>0</v>
      </c>
    </row>
    <row r="206" spans="1:18" ht="15.75">
      <c r="A206" s="56" t="s">
        <v>632</v>
      </c>
      <c r="B206" s="55" t="s">
        <v>253</v>
      </c>
      <c r="C206" s="129" t="s">
        <v>435</v>
      </c>
      <c r="D206" s="53" t="e">
        <f>VLOOKUP(C206,#REF!,3,FALSE)</f>
        <v>#REF!</v>
      </c>
      <c r="E206" s="111">
        <f>+'ORÇ - CONSOLIDADO'!H224</f>
        <v>0</v>
      </c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148">
        <f t="shared" si="23"/>
        <v>0</v>
      </c>
    </row>
    <row r="207" spans="1:18" ht="15.75">
      <c r="A207" s="56" t="s">
        <v>825</v>
      </c>
      <c r="B207" s="55" t="s">
        <v>253</v>
      </c>
      <c r="C207" s="129" t="s">
        <v>436</v>
      </c>
      <c r="D207" s="53" t="e">
        <f>VLOOKUP(C207,#REF!,3,FALSE)</f>
        <v>#REF!</v>
      </c>
      <c r="E207" s="111">
        <f>+'ORÇ - CONSOLIDADO'!H225</f>
        <v>0</v>
      </c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148">
        <f t="shared" si="23"/>
        <v>0</v>
      </c>
    </row>
    <row r="208" spans="1:18" ht="15.75">
      <c r="A208" s="59" t="s">
        <v>795</v>
      </c>
      <c r="B208" s="60">
        <v>0</v>
      </c>
      <c r="C208" s="127">
        <v>0</v>
      </c>
      <c r="D208" s="60" t="s">
        <v>63</v>
      </c>
      <c r="E208" s="112">
        <f>+'ORÇ - CONSOLIDADO'!H227</f>
        <v>0</v>
      </c>
      <c r="F208" s="149" t="e">
        <f>SUM(F209:F220)</f>
        <v>#DIV/0!</v>
      </c>
      <c r="G208" s="149" t="e">
        <f>SUM(G209:G220)</f>
        <v>#DIV/0!</v>
      </c>
      <c r="H208" s="149" t="e">
        <f aca="true" t="shared" si="25" ref="H208:Q208">SUM(H209:H220)</f>
        <v>#DIV/0!</v>
      </c>
      <c r="I208" s="149" t="e">
        <f t="shared" si="25"/>
        <v>#DIV/0!</v>
      </c>
      <c r="J208" s="149" t="e">
        <f t="shared" si="25"/>
        <v>#DIV/0!</v>
      </c>
      <c r="K208" s="149" t="e">
        <f t="shared" si="25"/>
        <v>#DIV/0!</v>
      </c>
      <c r="L208" s="149" t="e">
        <f t="shared" si="25"/>
        <v>#DIV/0!</v>
      </c>
      <c r="M208" s="149" t="e">
        <f t="shared" si="25"/>
        <v>#DIV/0!</v>
      </c>
      <c r="N208" s="149" t="e">
        <f t="shared" si="25"/>
        <v>#DIV/0!</v>
      </c>
      <c r="O208" s="149">
        <f t="shared" si="25"/>
        <v>0</v>
      </c>
      <c r="P208" s="149">
        <f t="shared" si="25"/>
        <v>0</v>
      </c>
      <c r="Q208" s="149" t="e">
        <f t="shared" si="25"/>
        <v>#DIV/0!</v>
      </c>
      <c r="R208" s="148" t="e">
        <f t="shared" si="23"/>
        <v>#DIV/0!</v>
      </c>
    </row>
    <row r="209" spans="1:18" ht="15.75">
      <c r="A209" s="50" t="s">
        <v>550</v>
      </c>
      <c r="B209" s="116">
        <v>0</v>
      </c>
      <c r="C209" s="128" t="s">
        <v>221</v>
      </c>
      <c r="D209" s="151" t="e">
        <f>VLOOKUP(C209,#REF!,3,FALSE)</f>
        <v>#REF!</v>
      </c>
      <c r="E209" s="118">
        <f>+'ORÇ - CONSOLIDADO'!H228</f>
        <v>0</v>
      </c>
      <c r="F209" s="149" t="e">
        <f>+$E209/$E$208/8*100</f>
        <v>#DIV/0!</v>
      </c>
      <c r="G209" s="149" t="e">
        <f aca="true" t="shared" si="26" ref="G209:M209">+$E209/$E$208/8*100</f>
        <v>#DIV/0!</v>
      </c>
      <c r="H209" s="149" t="e">
        <f t="shared" si="26"/>
        <v>#DIV/0!</v>
      </c>
      <c r="I209" s="149" t="e">
        <f t="shared" si="26"/>
        <v>#DIV/0!</v>
      </c>
      <c r="J209" s="149" t="e">
        <f t="shared" si="26"/>
        <v>#DIV/0!</v>
      </c>
      <c r="K209" s="149" t="e">
        <f t="shared" si="26"/>
        <v>#DIV/0!</v>
      </c>
      <c r="L209" s="149" t="e">
        <f t="shared" si="26"/>
        <v>#DIV/0!</v>
      </c>
      <c r="M209" s="149" t="e">
        <f t="shared" si="26"/>
        <v>#DIV/0!</v>
      </c>
      <c r="N209" s="149"/>
      <c r="O209" s="149"/>
      <c r="P209" s="149"/>
      <c r="Q209" s="149"/>
      <c r="R209" s="148" t="e">
        <f t="shared" si="23"/>
        <v>#DIV/0!</v>
      </c>
    </row>
    <row r="210" spans="1:18" ht="15.75">
      <c r="A210" s="56" t="s">
        <v>551</v>
      </c>
      <c r="B210" s="55" t="s">
        <v>253</v>
      </c>
      <c r="C210" s="129" t="s">
        <v>65</v>
      </c>
      <c r="D210" s="53" t="e">
        <f>VLOOKUP(C210,#REF!,3,FALSE)</f>
        <v>#REF!</v>
      </c>
      <c r="E210" s="114">
        <f>+'ORÇ - CONSOLIDADO'!H230</f>
        <v>0</v>
      </c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148">
        <f t="shared" si="23"/>
        <v>0</v>
      </c>
    </row>
    <row r="211" spans="1:18" ht="15.75">
      <c r="A211" s="57" t="s">
        <v>552</v>
      </c>
      <c r="B211" s="51" t="s">
        <v>253</v>
      </c>
      <c r="C211" s="134" t="s">
        <v>316</v>
      </c>
      <c r="D211" s="53" t="e">
        <f>VLOOKUP(C211,#REF!,3,FALSE)</f>
        <v>#REF!</v>
      </c>
      <c r="E211" s="114">
        <f>+'ORÇ - CONSOLIDADO'!H231</f>
        <v>0</v>
      </c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148">
        <f t="shared" si="23"/>
        <v>0</v>
      </c>
    </row>
    <row r="212" spans="1:18" ht="15.75">
      <c r="A212" s="57" t="s">
        <v>553</v>
      </c>
      <c r="B212" s="51" t="s">
        <v>253</v>
      </c>
      <c r="C212" s="130" t="s">
        <v>65</v>
      </c>
      <c r="D212" s="53" t="e">
        <f>VLOOKUP(C212,#REF!,3,FALSE)</f>
        <v>#REF!</v>
      </c>
      <c r="E212" s="114">
        <f>+'ORÇ - CONSOLIDADO'!H232</f>
        <v>0</v>
      </c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148">
        <f t="shared" si="23"/>
        <v>0</v>
      </c>
    </row>
    <row r="213" spans="1:18" ht="15.75">
      <c r="A213" s="50" t="s">
        <v>740</v>
      </c>
      <c r="B213" s="116"/>
      <c r="C213" s="128" t="s">
        <v>222</v>
      </c>
      <c r="D213" s="151" t="e">
        <f>VLOOKUP(C213,#REF!,3,FALSE)</f>
        <v>#REF!</v>
      </c>
      <c r="E213" s="118">
        <f>+'ORÇ - CONSOLIDADO'!H233</f>
        <v>0</v>
      </c>
      <c r="F213" s="33"/>
      <c r="G213" s="149" t="e">
        <f>+$E213/$E$208/2*100</f>
        <v>#DIV/0!</v>
      </c>
      <c r="H213" s="33"/>
      <c r="I213" s="33"/>
      <c r="J213" s="33"/>
      <c r="K213" s="33"/>
      <c r="L213" s="33"/>
      <c r="M213" s="33"/>
      <c r="N213" s="33"/>
      <c r="O213" s="33"/>
      <c r="P213" s="33"/>
      <c r="Q213" s="149" t="e">
        <f>+$E213/$E$208/2*100</f>
        <v>#DIV/0!</v>
      </c>
      <c r="R213" s="148" t="e">
        <f t="shared" si="23"/>
        <v>#DIV/0!</v>
      </c>
    </row>
    <row r="214" spans="1:18" ht="15.75">
      <c r="A214" s="56" t="s">
        <v>826</v>
      </c>
      <c r="B214" s="55" t="s">
        <v>253</v>
      </c>
      <c r="C214" s="129" t="s">
        <v>93</v>
      </c>
      <c r="D214" s="53" t="e">
        <f>VLOOKUP(C214,#REF!,3,FALSE)</f>
        <v>#REF!</v>
      </c>
      <c r="E214" s="111">
        <f>+'ORÇ - CONSOLIDADO'!H234</f>
        <v>0</v>
      </c>
      <c r="F214" s="33"/>
      <c r="G214" s="149"/>
      <c r="H214" s="33"/>
      <c r="I214" s="33"/>
      <c r="J214" s="33"/>
      <c r="K214" s="33"/>
      <c r="L214" s="33"/>
      <c r="M214" s="33"/>
      <c r="N214" s="33"/>
      <c r="O214" s="149"/>
      <c r="P214" s="149"/>
      <c r="Q214" s="33"/>
      <c r="R214" s="148">
        <f t="shared" si="23"/>
        <v>0</v>
      </c>
    </row>
    <row r="215" spans="1:18" ht="15.75">
      <c r="A215" s="57" t="s">
        <v>827</v>
      </c>
      <c r="B215" s="51" t="s">
        <v>253</v>
      </c>
      <c r="C215" s="130" t="s">
        <v>65</v>
      </c>
      <c r="D215" s="53" t="e">
        <f>VLOOKUP(C215,#REF!,3,FALSE)</f>
        <v>#REF!</v>
      </c>
      <c r="E215" s="111">
        <f>+'ORÇ - CONSOLIDADO'!H235</f>
        <v>0</v>
      </c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148">
        <f t="shared" si="23"/>
        <v>0</v>
      </c>
    </row>
    <row r="216" spans="1:18" ht="15.75">
      <c r="A216" s="52"/>
      <c r="B216" s="63">
        <v>0</v>
      </c>
      <c r="C216" s="135">
        <v>0</v>
      </c>
      <c r="D216" s="63"/>
      <c r="E216" s="114">
        <f>+'ORÇ - CONSOLIDADO'!H236</f>
        <v>0</v>
      </c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148">
        <f t="shared" si="23"/>
        <v>0</v>
      </c>
    </row>
    <row r="217" spans="1:18" ht="15.75">
      <c r="A217" s="50" t="s">
        <v>828</v>
      </c>
      <c r="B217" s="116"/>
      <c r="C217" s="128" t="s">
        <v>222</v>
      </c>
      <c r="D217" s="151" t="s">
        <v>629</v>
      </c>
      <c r="E217" s="118">
        <f>+'ORÇ - CONSOLIDADO'!H237</f>
        <v>0</v>
      </c>
      <c r="F217" s="33"/>
      <c r="G217" s="33"/>
      <c r="H217" s="33"/>
      <c r="I217" s="149" t="e">
        <f>+$E217/$E$208/4*100</f>
        <v>#DIV/0!</v>
      </c>
      <c r="J217" s="149" t="e">
        <f>+$E217/$E$208/4*100</f>
        <v>#DIV/0!</v>
      </c>
      <c r="K217" s="33"/>
      <c r="L217" s="33"/>
      <c r="M217" s="149" t="e">
        <f>+$E217/$E$208/4*100</f>
        <v>#DIV/0!</v>
      </c>
      <c r="N217" s="149" t="e">
        <f>+$E217/$E$208/4*100</f>
        <v>#DIV/0!</v>
      </c>
      <c r="O217" s="33"/>
      <c r="P217" s="33"/>
      <c r="Q217" s="33"/>
      <c r="R217" s="148" t="e">
        <f t="shared" si="23"/>
        <v>#DIV/0!</v>
      </c>
    </row>
    <row r="218" spans="1:18" ht="15.75">
      <c r="A218" s="56" t="s">
        <v>829</v>
      </c>
      <c r="B218" s="55" t="s">
        <v>253</v>
      </c>
      <c r="C218" s="129" t="s">
        <v>627</v>
      </c>
      <c r="D218" s="53" t="e">
        <f>VLOOKUP(C218,#REF!,3,FALSE)</f>
        <v>#REF!</v>
      </c>
      <c r="E218" s="111">
        <f>+'ORÇ - CONSOLIDADO'!H238</f>
        <v>0</v>
      </c>
      <c r="F218" s="33"/>
      <c r="G218" s="33"/>
      <c r="H218" s="33"/>
      <c r="I218" s="149"/>
      <c r="J218" s="33"/>
      <c r="K218" s="33"/>
      <c r="L218" s="33"/>
      <c r="M218" s="33"/>
      <c r="N218" s="33"/>
      <c r="O218" s="33"/>
      <c r="P218" s="33"/>
      <c r="Q218" s="33"/>
      <c r="R218" s="148">
        <f t="shared" si="23"/>
        <v>0</v>
      </c>
    </row>
    <row r="219" spans="1:18" ht="15.75">
      <c r="A219" s="57" t="s">
        <v>830</v>
      </c>
      <c r="B219" s="51" t="s">
        <v>253</v>
      </c>
      <c r="C219" s="130" t="s">
        <v>65</v>
      </c>
      <c r="D219" s="53" t="e">
        <f>VLOOKUP(C219,#REF!,3,FALSE)</f>
        <v>#REF!</v>
      </c>
      <c r="E219" s="111">
        <f>+'ORÇ - CONSOLIDADO'!H239</f>
        <v>0</v>
      </c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148">
        <f t="shared" si="23"/>
        <v>0</v>
      </c>
    </row>
    <row r="220" spans="1:18" ht="15.75">
      <c r="A220" s="52"/>
      <c r="B220" s="63">
        <v>0</v>
      </c>
      <c r="C220" s="135">
        <v>0</v>
      </c>
      <c r="D220" s="63"/>
      <c r="E220" s="114">
        <f>+'ORÇ - CONSOLIDADO'!H243</f>
        <v>0</v>
      </c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148">
        <f t="shared" si="23"/>
        <v>0</v>
      </c>
    </row>
    <row r="221" spans="1:18" ht="15.75">
      <c r="A221" s="59" t="s">
        <v>796</v>
      </c>
      <c r="B221" s="60">
        <v>0</v>
      </c>
      <c r="C221" s="127">
        <v>0</v>
      </c>
      <c r="D221" s="60" t="s">
        <v>37</v>
      </c>
      <c r="E221" s="112">
        <f>+'ORÇ - CONSOLIDADO'!H244</f>
        <v>0</v>
      </c>
      <c r="F221" s="149" t="e">
        <f>+F222</f>
        <v>#DIV/0!</v>
      </c>
      <c r="G221" s="149" t="e">
        <f>+G222</f>
        <v>#DIV/0!</v>
      </c>
      <c r="H221" s="149" t="e">
        <f aca="true" t="shared" si="27" ref="H221:Q221">+H222</f>
        <v>#DIV/0!</v>
      </c>
      <c r="I221" s="149" t="e">
        <f t="shared" si="27"/>
        <v>#DIV/0!</v>
      </c>
      <c r="J221" s="149" t="e">
        <f t="shared" si="27"/>
        <v>#DIV/0!</v>
      </c>
      <c r="K221" s="149" t="e">
        <f t="shared" si="27"/>
        <v>#DIV/0!</v>
      </c>
      <c r="L221" s="149" t="e">
        <f t="shared" si="27"/>
        <v>#DIV/0!</v>
      </c>
      <c r="M221" s="149" t="e">
        <f t="shared" si="27"/>
        <v>#DIV/0!</v>
      </c>
      <c r="N221" s="149">
        <f t="shared" si="27"/>
        <v>0</v>
      </c>
      <c r="O221" s="149">
        <f t="shared" si="27"/>
        <v>0</v>
      </c>
      <c r="P221" s="149">
        <f t="shared" si="27"/>
        <v>0</v>
      </c>
      <c r="Q221" s="149">
        <f t="shared" si="27"/>
        <v>0</v>
      </c>
      <c r="R221" s="148" t="e">
        <f t="shared" si="23"/>
        <v>#DIV/0!</v>
      </c>
    </row>
    <row r="222" spans="1:18" ht="15.75">
      <c r="A222" s="50" t="s">
        <v>554</v>
      </c>
      <c r="B222" s="116">
        <v>0</v>
      </c>
      <c r="C222" s="128" t="s">
        <v>202</v>
      </c>
      <c r="D222" s="151" t="e">
        <f>VLOOKUP(C222,#REF!,3,FALSE)</f>
        <v>#REF!</v>
      </c>
      <c r="E222" s="118">
        <f>+'ORÇ - CONSOLIDADO'!H245</f>
        <v>0</v>
      </c>
      <c r="F222" s="149" t="e">
        <f>+$E222/$E$221/8*100</f>
        <v>#DIV/0!</v>
      </c>
      <c r="G222" s="149" t="e">
        <f aca="true" t="shared" si="28" ref="G222:M222">+$E222/$E$221/8*100</f>
        <v>#DIV/0!</v>
      </c>
      <c r="H222" s="149" t="e">
        <f t="shared" si="28"/>
        <v>#DIV/0!</v>
      </c>
      <c r="I222" s="149" t="e">
        <f t="shared" si="28"/>
        <v>#DIV/0!</v>
      </c>
      <c r="J222" s="149" t="e">
        <f t="shared" si="28"/>
        <v>#DIV/0!</v>
      </c>
      <c r="K222" s="149" t="e">
        <f t="shared" si="28"/>
        <v>#DIV/0!</v>
      </c>
      <c r="L222" s="149" t="e">
        <f t="shared" si="28"/>
        <v>#DIV/0!</v>
      </c>
      <c r="M222" s="149" t="e">
        <f t="shared" si="28"/>
        <v>#DIV/0!</v>
      </c>
      <c r="N222" s="149"/>
      <c r="O222" s="149"/>
      <c r="P222" s="149"/>
      <c r="Q222" s="149"/>
      <c r="R222" s="148" t="e">
        <f t="shared" si="23"/>
        <v>#DIV/0!</v>
      </c>
    </row>
    <row r="223" spans="1:18" ht="15.75">
      <c r="A223" s="52" t="s">
        <v>555</v>
      </c>
      <c r="B223" s="51" t="s">
        <v>253</v>
      </c>
      <c r="C223" s="130" t="s">
        <v>204</v>
      </c>
      <c r="D223" s="53" t="e">
        <f>VLOOKUP(C223,#REF!,3,FALSE)</f>
        <v>#REF!</v>
      </c>
      <c r="E223" s="113">
        <f>+'ORÇ - CONSOLIDADO'!H246</f>
        <v>0</v>
      </c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148">
        <f t="shared" si="23"/>
        <v>0</v>
      </c>
    </row>
    <row r="224" spans="1:18" ht="15.75">
      <c r="A224" s="52" t="s">
        <v>556</v>
      </c>
      <c r="B224" s="51" t="s">
        <v>253</v>
      </c>
      <c r="C224" s="130" t="s">
        <v>205</v>
      </c>
      <c r="D224" s="53" t="e">
        <f>VLOOKUP(C224,#REF!,3,FALSE)</f>
        <v>#REF!</v>
      </c>
      <c r="E224" s="113">
        <f>+'ORÇ - CONSOLIDADO'!H247</f>
        <v>0</v>
      </c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148">
        <f t="shared" si="23"/>
        <v>0</v>
      </c>
    </row>
    <row r="225" spans="1:18" ht="15.75">
      <c r="A225" s="52" t="s">
        <v>557</v>
      </c>
      <c r="B225" s="51" t="s">
        <v>253</v>
      </c>
      <c r="C225" s="130" t="s">
        <v>82</v>
      </c>
      <c r="D225" s="53" t="e">
        <f>VLOOKUP(C225,#REF!,3,FALSE)</f>
        <v>#REF!</v>
      </c>
      <c r="E225" s="113">
        <f>+'ORÇ - CONSOLIDADO'!H248</f>
        <v>0</v>
      </c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148">
        <f aca="true" t="shared" si="29" ref="R225:R255">SUM(F225:Q225)</f>
        <v>0</v>
      </c>
    </row>
    <row r="226" spans="1:18" ht="15.75">
      <c r="A226" s="52" t="s">
        <v>576</v>
      </c>
      <c r="B226" s="51" t="s">
        <v>253</v>
      </c>
      <c r="C226" s="130" t="s">
        <v>227</v>
      </c>
      <c r="D226" s="53" t="e">
        <f>VLOOKUP(C226,#REF!,3,FALSE)</f>
        <v>#REF!</v>
      </c>
      <c r="E226" s="113">
        <f>+'ORÇ - CONSOLIDADO'!H249</f>
        <v>0</v>
      </c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148">
        <f t="shared" si="29"/>
        <v>0</v>
      </c>
    </row>
    <row r="227" spans="1:18" ht="15.75">
      <c r="A227" s="52"/>
      <c r="B227" s="58">
        <v>0</v>
      </c>
      <c r="C227" s="133">
        <v>0</v>
      </c>
      <c r="D227" s="58">
        <v>0</v>
      </c>
      <c r="E227" s="113">
        <f>+'ORÇ - CONSOLIDADO'!H250</f>
        <v>0</v>
      </c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148">
        <f t="shared" si="29"/>
        <v>0</v>
      </c>
    </row>
    <row r="228" spans="1:18" ht="15.75">
      <c r="A228" s="59" t="s">
        <v>19</v>
      </c>
      <c r="B228" s="60">
        <v>0</v>
      </c>
      <c r="C228" s="127">
        <v>0</v>
      </c>
      <c r="D228" s="60" t="s">
        <v>303</v>
      </c>
      <c r="E228" s="112">
        <f>+'ORÇ - CONSOLIDADO'!H251</f>
        <v>0</v>
      </c>
      <c r="F228" s="149">
        <f aca="true" t="shared" si="30" ref="F228:K228">+F229</f>
        <v>0</v>
      </c>
      <c r="G228" s="149">
        <f t="shared" si="30"/>
        <v>0</v>
      </c>
      <c r="H228" s="149">
        <f t="shared" si="30"/>
        <v>0</v>
      </c>
      <c r="I228" s="149">
        <f t="shared" si="30"/>
        <v>0</v>
      </c>
      <c r="J228" s="149">
        <f t="shared" si="30"/>
        <v>0</v>
      </c>
      <c r="K228" s="149" t="e">
        <f t="shared" si="30"/>
        <v>#DIV/0!</v>
      </c>
      <c r="L228" s="149" t="e">
        <f aca="true" t="shared" si="31" ref="L228:Q228">+L229</f>
        <v>#DIV/0!</v>
      </c>
      <c r="M228" s="149">
        <f t="shared" si="31"/>
        <v>0</v>
      </c>
      <c r="N228" s="149">
        <f t="shared" si="31"/>
        <v>0</v>
      </c>
      <c r="O228" s="149" t="e">
        <f t="shared" si="31"/>
        <v>#DIV/0!</v>
      </c>
      <c r="P228" s="149" t="e">
        <f t="shared" si="31"/>
        <v>#DIV/0!</v>
      </c>
      <c r="Q228" s="149">
        <f t="shared" si="31"/>
        <v>0</v>
      </c>
      <c r="R228" s="148" t="e">
        <f t="shared" si="29"/>
        <v>#DIV/0!</v>
      </c>
    </row>
    <row r="229" spans="1:18" ht="15.75">
      <c r="A229" s="50" t="s">
        <v>1330</v>
      </c>
      <c r="B229" s="116">
        <v>0</v>
      </c>
      <c r="C229" s="128" t="s">
        <v>304</v>
      </c>
      <c r="D229" s="151" t="e">
        <f>VLOOKUP(C229,#REF!,3,FALSE)</f>
        <v>#REF!</v>
      </c>
      <c r="E229" s="118">
        <f>+'ORÇ - CONSOLIDADO'!H252</f>
        <v>0</v>
      </c>
      <c r="F229" s="33"/>
      <c r="G229" s="149"/>
      <c r="H229" s="33"/>
      <c r="I229" s="33"/>
      <c r="J229" s="33"/>
      <c r="K229" s="149" t="e">
        <f>+$E229/$E$228/4*100</f>
        <v>#DIV/0!</v>
      </c>
      <c r="L229" s="149" t="e">
        <f>+$E229/$E$228/4*100</f>
        <v>#DIV/0!</v>
      </c>
      <c r="M229" s="33"/>
      <c r="N229" s="33"/>
      <c r="O229" s="149" t="e">
        <f>+$E229/$E$228/4*100</f>
        <v>#DIV/0!</v>
      </c>
      <c r="P229" s="149" t="e">
        <f>+$E229/$E$228/4*100</f>
        <v>#DIV/0!</v>
      </c>
      <c r="Q229" s="33"/>
      <c r="R229" s="148" t="e">
        <f t="shared" si="29"/>
        <v>#DIV/0!</v>
      </c>
    </row>
    <row r="230" spans="1:18" ht="15.75">
      <c r="A230" s="52" t="s">
        <v>555</v>
      </c>
      <c r="B230" s="199" t="s">
        <v>390</v>
      </c>
      <c r="C230" s="165">
        <v>110331</v>
      </c>
      <c r="D230" s="53" t="e">
        <f>VLOOKUP(C230,#REF!,3,FALSE)</f>
        <v>#REF!</v>
      </c>
      <c r="E230" s="113">
        <f>+'ORÇ - CONSOLIDADO'!H253</f>
        <v>0</v>
      </c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148">
        <f t="shared" si="29"/>
        <v>0</v>
      </c>
    </row>
    <row r="231" spans="1:18" ht="15.75">
      <c r="A231" s="52" t="s">
        <v>556</v>
      </c>
      <c r="B231" s="199" t="s">
        <v>390</v>
      </c>
      <c r="C231" s="165">
        <v>110465</v>
      </c>
      <c r="D231" s="53" t="e">
        <f>VLOOKUP(C231,#REF!,3,FALSE)</f>
        <v>#REF!</v>
      </c>
      <c r="E231" s="113">
        <f>+'ORÇ - CONSOLIDADO'!H254</f>
        <v>0</v>
      </c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148">
        <f t="shared" si="29"/>
        <v>0</v>
      </c>
    </row>
    <row r="232" spans="1:18" ht="15.75">
      <c r="A232" s="52" t="s">
        <v>557</v>
      </c>
      <c r="B232" s="199" t="s">
        <v>390</v>
      </c>
      <c r="C232" s="165">
        <v>110201</v>
      </c>
      <c r="D232" s="53" t="e">
        <f>VLOOKUP(C232,#REF!,3,FALSE)</f>
        <v>#REF!</v>
      </c>
      <c r="E232" s="113">
        <f>+'ORÇ - CONSOLIDADO'!H255</f>
        <v>0</v>
      </c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148">
        <f t="shared" si="29"/>
        <v>0</v>
      </c>
    </row>
    <row r="233" spans="1:18" ht="15.75">
      <c r="A233" s="52" t="s">
        <v>576</v>
      </c>
      <c r="B233" s="199" t="s">
        <v>390</v>
      </c>
      <c r="C233" s="165">
        <v>110118</v>
      </c>
      <c r="D233" s="53" t="e">
        <f>VLOOKUP(C233,#REF!,3,FALSE)</f>
        <v>#REF!</v>
      </c>
      <c r="E233" s="113">
        <f>+'ORÇ - CONSOLIDADO'!H256</f>
        <v>0</v>
      </c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148">
        <f t="shared" si="29"/>
        <v>0</v>
      </c>
    </row>
    <row r="234" spans="1:18" ht="15.75">
      <c r="A234" s="52" t="s">
        <v>577</v>
      </c>
      <c r="B234" s="199" t="s">
        <v>390</v>
      </c>
      <c r="C234" s="165">
        <v>110458</v>
      </c>
      <c r="D234" s="53" t="e">
        <f>VLOOKUP(C234,#REF!,3,FALSE)</f>
        <v>#REF!</v>
      </c>
      <c r="E234" s="113">
        <f>+'ORÇ - CONSOLIDADO'!H257</f>
        <v>0</v>
      </c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148">
        <f t="shared" si="29"/>
        <v>0</v>
      </c>
    </row>
    <row r="235" spans="1:18" ht="15.75">
      <c r="A235" s="52" t="s">
        <v>578</v>
      </c>
      <c r="B235" s="153" t="s">
        <v>1060</v>
      </c>
      <c r="C235" s="133" t="e">
        <f>+#REF!</f>
        <v>#REF!</v>
      </c>
      <c r="D235" s="53" t="e">
        <f>+#REF!</f>
        <v>#REF!</v>
      </c>
      <c r="E235" s="113">
        <f>+'ORÇ - CONSOLIDADO'!H258</f>
        <v>0</v>
      </c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148">
        <f t="shared" si="29"/>
        <v>0</v>
      </c>
    </row>
    <row r="236" spans="1:18" ht="31.5">
      <c r="A236" s="52" t="s">
        <v>841</v>
      </c>
      <c r="B236" s="58" t="s">
        <v>390</v>
      </c>
      <c r="C236" s="133">
        <v>110184</v>
      </c>
      <c r="D236" s="53" t="s">
        <v>804</v>
      </c>
      <c r="E236" s="113">
        <f>+'ORÇ - CONSOLIDADO'!H259</f>
        <v>0</v>
      </c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148">
        <f t="shared" si="29"/>
        <v>0</v>
      </c>
    </row>
    <row r="237" spans="1:18" ht="15.75">
      <c r="A237" s="52"/>
      <c r="B237" s="58">
        <v>0</v>
      </c>
      <c r="C237" s="133">
        <v>0</v>
      </c>
      <c r="D237" s="58">
        <v>0</v>
      </c>
      <c r="E237" s="113">
        <f>+'ORÇ - CONSOLIDADO'!H260</f>
        <v>0</v>
      </c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148">
        <f t="shared" si="29"/>
        <v>0</v>
      </c>
    </row>
    <row r="238" spans="1:18" ht="15.75">
      <c r="A238" s="59" t="s">
        <v>20</v>
      </c>
      <c r="B238" s="60">
        <v>0</v>
      </c>
      <c r="C238" s="127">
        <v>0</v>
      </c>
      <c r="D238" s="60" t="s">
        <v>307</v>
      </c>
      <c r="E238" s="112">
        <f>+'ORÇ - CONSOLIDADO'!H261</f>
        <v>0</v>
      </c>
      <c r="F238" s="149">
        <f>SUM(F239:F252)</f>
        <v>0</v>
      </c>
      <c r="G238" s="149">
        <f>SUM(G239:G252)</f>
        <v>0</v>
      </c>
      <c r="H238" s="149" t="e">
        <f>SUM(H239:H252)</f>
        <v>#DIV/0!</v>
      </c>
      <c r="I238" s="149">
        <f aca="true" t="shared" si="32" ref="I238:Q238">SUM(I239:I252)</f>
        <v>0</v>
      </c>
      <c r="J238" s="149" t="e">
        <f t="shared" si="32"/>
        <v>#DIV/0!</v>
      </c>
      <c r="K238" s="149" t="e">
        <f t="shared" si="32"/>
        <v>#DIV/0!</v>
      </c>
      <c r="L238" s="149" t="e">
        <f t="shared" si="32"/>
        <v>#DIV/0!</v>
      </c>
      <c r="M238" s="149" t="e">
        <f t="shared" si="32"/>
        <v>#DIV/0!</v>
      </c>
      <c r="N238" s="149">
        <f t="shared" si="32"/>
        <v>0</v>
      </c>
      <c r="O238" s="149" t="e">
        <f t="shared" si="32"/>
        <v>#DIV/0!</v>
      </c>
      <c r="P238" s="149" t="e">
        <f t="shared" si="32"/>
        <v>#DIV/0!</v>
      </c>
      <c r="Q238" s="149">
        <f t="shared" si="32"/>
        <v>0</v>
      </c>
      <c r="R238" s="148" t="e">
        <f t="shared" si="29"/>
        <v>#DIV/0!</v>
      </c>
    </row>
    <row r="239" spans="1:18" ht="15.75">
      <c r="A239" s="50" t="s">
        <v>558</v>
      </c>
      <c r="B239" s="116">
        <v>0</v>
      </c>
      <c r="C239" s="128" t="s">
        <v>217</v>
      </c>
      <c r="D239" s="151" t="e">
        <f>VLOOKUP(C239,#REF!,3,FALSE)</f>
        <v>#REF!</v>
      </c>
      <c r="E239" s="118">
        <f>+'ORÇ - CONSOLIDADO'!H262</f>
        <v>0</v>
      </c>
      <c r="F239" s="33"/>
      <c r="G239" s="33"/>
      <c r="H239" s="149" t="e">
        <f>+$E239/$E$238/2*100</f>
        <v>#DIV/0!</v>
      </c>
      <c r="I239" s="33"/>
      <c r="J239" s="33"/>
      <c r="K239" s="33"/>
      <c r="L239" s="33"/>
      <c r="M239" s="149" t="e">
        <f>+$E239/$E$238/2*100</f>
        <v>#DIV/0!</v>
      </c>
      <c r="N239" s="33"/>
      <c r="O239" s="33"/>
      <c r="P239" s="149"/>
      <c r="Q239" s="149"/>
      <c r="R239" s="148" t="e">
        <f t="shared" si="29"/>
        <v>#DIV/0!</v>
      </c>
    </row>
    <row r="240" spans="1:18" ht="15.75">
      <c r="A240" s="56" t="s">
        <v>559</v>
      </c>
      <c r="B240" s="55" t="s">
        <v>253</v>
      </c>
      <c r="C240" s="129" t="s">
        <v>219</v>
      </c>
      <c r="D240" s="53" t="e">
        <f>VLOOKUP(C240,#REF!,3,FALSE)</f>
        <v>#REF!</v>
      </c>
      <c r="E240" s="111">
        <f>+'ORÇ - CONSOLIDADO'!H263</f>
        <v>0</v>
      </c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148">
        <f t="shared" si="29"/>
        <v>0</v>
      </c>
    </row>
    <row r="241" spans="1:18" ht="15.75">
      <c r="A241" s="50" t="s">
        <v>831</v>
      </c>
      <c r="B241" s="116">
        <v>0</v>
      </c>
      <c r="C241" s="128" t="s">
        <v>308</v>
      </c>
      <c r="D241" s="151" t="e">
        <f>VLOOKUP(C241,#REF!,3,FALSE)</f>
        <v>#REF!</v>
      </c>
      <c r="E241" s="118">
        <f>+'ORÇ - CONSOLIDADO'!H264</f>
        <v>0</v>
      </c>
      <c r="F241" s="33"/>
      <c r="G241" s="33"/>
      <c r="H241" s="33"/>
      <c r="I241" s="33"/>
      <c r="J241" s="149" t="e">
        <f>+$E241/$E$238/4*100</f>
        <v>#DIV/0!</v>
      </c>
      <c r="K241" s="149" t="e">
        <f>+$E241/$E$238/4*100</f>
        <v>#DIV/0!</v>
      </c>
      <c r="L241" s="149"/>
      <c r="M241" s="33"/>
      <c r="N241" s="33"/>
      <c r="O241" s="149" t="e">
        <f>+$E241/$E$238/4*100</f>
        <v>#DIV/0!</v>
      </c>
      <c r="P241" s="149" t="e">
        <f>+$E241/$E$238/4*100</f>
        <v>#DIV/0!</v>
      </c>
      <c r="Q241" s="33"/>
      <c r="R241" s="149" t="e">
        <f>+$E241/$E$238/4*100</f>
        <v>#DIV/0!</v>
      </c>
    </row>
    <row r="242" spans="1:18" ht="33.75">
      <c r="A242" s="52" t="s">
        <v>832</v>
      </c>
      <c r="B242" s="153" t="s">
        <v>1060</v>
      </c>
      <c r="C242" s="133" t="e">
        <f>+#REF!</f>
        <v>#REF!</v>
      </c>
      <c r="D242" s="182" t="s">
        <v>802</v>
      </c>
      <c r="E242" s="111">
        <f>+'ORÇ - CONSOLIDADO'!H265</f>
        <v>0</v>
      </c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148">
        <f t="shared" si="29"/>
        <v>0</v>
      </c>
    </row>
    <row r="243" spans="1:18" ht="33.75">
      <c r="A243" s="52" t="s">
        <v>833</v>
      </c>
      <c r="B243" s="153" t="s">
        <v>1060</v>
      </c>
      <c r="C243" s="133" t="e">
        <f>+#REF!</f>
        <v>#REF!</v>
      </c>
      <c r="D243" s="182" t="s">
        <v>800</v>
      </c>
      <c r="E243" s="111">
        <f>+'ORÇ - CONSOLIDADO'!H266</f>
        <v>0</v>
      </c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148">
        <f t="shared" si="29"/>
        <v>0</v>
      </c>
    </row>
    <row r="244" spans="1:18" ht="33.75">
      <c r="A244" s="52" t="s">
        <v>834</v>
      </c>
      <c r="B244" s="153" t="s">
        <v>1060</v>
      </c>
      <c r="C244" s="133" t="e">
        <f>+#REF!</f>
        <v>#REF!</v>
      </c>
      <c r="D244" s="182" t="s">
        <v>799</v>
      </c>
      <c r="E244" s="111">
        <f>+'ORÇ - CONSOLIDADO'!H267</f>
        <v>0</v>
      </c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148">
        <f t="shared" si="29"/>
        <v>0</v>
      </c>
    </row>
    <row r="245" spans="1:18" ht="33.75">
      <c r="A245" s="52" t="s">
        <v>835</v>
      </c>
      <c r="B245" s="153" t="s">
        <v>1060</v>
      </c>
      <c r="C245" s="133" t="e">
        <f>+#REF!</f>
        <v>#REF!</v>
      </c>
      <c r="D245" s="182" t="s">
        <v>799</v>
      </c>
      <c r="E245" s="111">
        <f>+'ORÇ - CONSOLIDADO'!H268</f>
        <v>0</v>
      </c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148">
        <f t="shared" si="29"/>
        <v>0</v>
      </c>
    </row>
    <row r="246" spans="1:18" ht="33.75">
      <c r="A246" s="52" t="s">
        <v>836</v>
      </c>
      <c r="B246" s="153" t="s">
        <v>1060</v>
      </c>
      <c r="C246" s="133" t="e">
        <f>+#REF!</f>
        <v>#REF!</v>
      </c>
      <c r="D246" s="182" t="s">
        <v>798</v>
      </c>
      <c r="E246" s="111">
        <f>+'ORÇ - CONSOLIDADO'!H269</f>
        <v>0</v>
      </c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148">
        <f t="shared" si="29"/>
        <v>0</v>
      </c>
    </row>
    <row r="247" spans="1:18" ht="15.75">
      <c r="A247" s="52" t="s">
        <v>837</v>
      </c>
      <c r="B247" s="58" t="s">
        <v>253</v>
      </c>
      <c r="C247" s="133" t="s">
        <v>450</v>
      </c>
      <c r="D247" s="53" t="e">
        <f>VLOOKUP(C247,#REF!,3,FALSE)</f>
        <v>#REF!</v>
      </c>
      <c r="E247" s="113">
        <f>+'ORÇ - CONSOLIDADO'!H270</f>
        <v>0</v>
      </c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148">
        <f t="shared" si="29"/>
        <v>0</v>
      </c>
    </row>
    <row r="248" spans="1:18" ht="15.75">
      <c r="A248" s="52" t="s">
        <v>838</v>
      </c>
      <c r="B248" s="58" t="s">
        <v>253</v>
      </c>
      <c r="C248" s="133" t="s">
        <v>449</v>
      </c>
      <c r="D248" s="53" t="e">
        <f>VLOOKUP(C248,#REF!,3,FALSE)</f>
        <v>#REF!</v>
      </c>
      <c r="E248" s="113">
        <f>+'ORÇ - CONSOLIDADO'!H271</f>
        <v>0</v>
      </c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148">
        <f t="shared" si="29"/>
        <v>0</v>
      </c>
    </row>
    <row r="249" spans="1:18" ht="15.75">
      <c r="A249" s="52"/>
      <c r="B249" s="58"/>
      <c r="C249" s="133"/>
      <c r="D249" s="53"/>
      <c r="E249" s="113">
        <f>+'ORÇ - CONSOLIDADO'!H272</f>
        <v>0</v>
      </c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148">
        <f t="shared" si="29"/>
        <v>0</v>
      </c>
    </row>
    <row r="250" spans="1:18" ht="15.75">
      <c r="A250" s="50" t="s">
        <v>839</v>
      </c>
      <c r="B250" s="116">
        <v>0</v>
      </c>
      <c r="C250" s="128" t="s">
        <v>310</v>
      </c>
      <c r="D250" s="151" t="e">
        <f>VLOOKUP(C250,#REF!,3,FALSE)</f>
        <v>#REF!</v>
      </c>
      <c r="E250" s="118">
        <f>+'ORÇ - CONSOLIDADO'!H273</f>
        <v>0</v>
      </c>
      <c r="F250" s="33"/>
      <c r="G250" s="33"/>
      <c r="H250" s="33"/>
      <c r="I250" s="33"/>
      <c r="J250" s="33"/>
      <c r="K250" s="33"/>
      <c r="L250" s="149" t="e">
        <f>+$E250/$E$238/2*100</f>
        <v>#DIV/0!</v>
      </c>
      <c r="M250" s="33"/>
      <c r="N250" s="33"/>
      <c r="O250" s="33"/>
      <c r="P250" s="149" t="e">
        <f>+$E250/$E$238/2*100</f>
        <v>#DIV/0!</v>
      </c>
      <c r="Q250" s="33"/>
      <c r="R250" s="148" t="e">
        <f t="shared" si="29"/>
        <v>#DIV/0!</v>
      </c>
    </row>
    <row r="251" spans="1:18" ht="15.75">
      <c r="A251" s="52" t="s">
        <v>840</v>
      </c>
      <c r="B251" s="58" t="s">
        <v>253</v>
      </c>
      <c r="C251" s="133" t="s">
        <v>472</v>
      </c>
      <c r="D251" s="53" t="e">
        <f>VLOOKUP(C251,#REF!,3,FALSE)</f>
        <v>#REF!</v>
      </c>
      <c r="E251" s="113">
        <f>+'ORÇ - CONSOLIDADO'!H274</f>
        <v>0</v>
      </c>
      <c r="F251" s="33"/>
      <c r="G251" s="33"/>
      <c r="H251" s="33"/>
      <c r="I251" s="33"/>
      <c r="J251" s="33"/>
      <c r="K251" s="33"/>
      <c r="L251" s="149"/>
      <c r="M251" s="33"/>
      <c r="N251" s="33"/>
      <c r="O251" s="33"/>
      <c r="P251" s="149"/>
      <c r="Q251" s="33"/>
      <c r="R251" s="148">
        <f t="shared" si="29"/>
        <v>0</v>
      </c>
    </row>
    <row r="252" spans="1:18" ht="32.25" customHeight="1">
      <c r="A252" s="52"/>
      <c r="B252" s="58">
        <v>0</v>
      </c>
      <c r="C252" s="133">
        <v>0</v>
      </c>
      <c r="D252" s="58">
        <v>0</v>
      </c>
      <c r="E252" s="113">
        <f>+'ORÇ - CONSOLIDADO'!H275</f>
        <v>0</v>
      </c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148">
        <f>SUM(F252:Q252)</f>
        <v>0</v>
      </c>
    </row>
    <row r="253" spans="1:18" ht="32.25" customHeight="1">
      <c r="A253" s="59" t="s">
        <v>22</v>
      </c>
      <c r="B253" s="60">
        <v>0</v>
      </c>
      <c r="C253" s="127">
        <v>0</v>
      </c>
      <c r="D253" s="60" t="s">
        <v>312</v>
      </c>
      <c r="E253" s="118">
        <f>+'ORÇ - CONSOLIDADO'!H276</f>
        <v>0</v>
      </c>
      <c r="F253" s="33"/>
      <c r="G253" s="33"/>
      <c r="H253" s="33"/>
      <c r="I253" s="33"/>
      <c r="J253" s="33"/>
      <c r="K253" s="33"/>
      <c r="L253" s="149" t="e">
        <f>+L254</f>
        <v>#DIV/0!</v>
      </c>
      <c r="M253" s="33"/>
      <c r="N253" s="33"/>
      <c r="O253" s="33"/>
      <c r="P253" s="149" t="e">
        <f>+P254</f>
        <v>#DIV/0!</v>
      </c>
      <c r="Q253" s="33"/>
      <c r="R253" s="148" t="e">
        <f>SUM(F253:Q253)</f>
        <v>#DIV/0!</v>
      </c>
    </row>
    <row r="254" spans="1:18" ht="32.25" customHeight="1">
      <c r="A254" s="50" t="s">
        <v>1160</v>
      </c>
      <c r="B254" s="116">
        <v>0</v>
      </c>
      <c r="C254" s="128"/>
      <c r="D254" s="151" t="s">
        <v>313</v>
      </c>
      <c r="E254" s="113">
        <f>+'ORÇ - CONSOLIDADO'!H277</f>
        <v>0</v>
      </c>
      <c r="F254" s="33"/>
      <c r="G254" s="33"/>
      <c r="H254" s="33"/>
      <c r="I254" s="33"/>
      <c r="J254" s="33"/>
      <c r="K254" s="33"/>
      <c r="L254" s="149" t="e">
        <f>+$E254/$E$253/2*100</f>
        <v>#DIV/0!</v>
      </c>
      <c r="M254" s="33"/>
      <c r="N254" s="33"/>
      <c r="O254" s="33"/>
      <c r="P254" s="149" t="e">
        <f>+$E254/$E$253/2*100</f>
        <v>#DIV/0!</v>
      </c>
      <c r="Q254" s="33"/>
      <c r="R254" s="148" t="e">
        <f>SUM(F254:Q254)</f>
        <v>#DIV/0!</v>
      </c>
    </row>
    <row r="255" spans="1:18" ht="32.25" customHeight="1">
      <c r="A255" s="52" t="s">
        <v>1161</v>
      </c>
      <c r="B255" s="58" t="s">
        <v>253</v>
      </c>
      <c r="C255" s="133" t="s">
        <v>471</v>
      </c>
      <c r="D255" s="53" t="e">
        <f>VLOOKUP(C255,#REF!,3,FALSE)</f>
        <v>#REF!</v>
      </c>
      <c r="E255" s="113">
        <f>+'ORÇ - CONSOLIDADO'!H278</f>
        <v>0</v>
      </c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148">
        <f t="shared" si="29"/>
        <v>0</v>
      </c>
    </row>
    <row r="256" spans="1:18" ht="15.75">
      <c r="A256" s="52"/>
      <c r="B256" s="58">
        <v>0</v>
      </c>
      <c r="C256" s="133">
        <v>0</v>
      </c>
      <c r="D256" s="58">
        <v>0</v>
      </c>
      <c r="E256" s="113">
        <f>+'ORÇ - CONSOLIDADO'!H279</f>
        <v>0</v>
      </c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148">
        <f>SUM(F256:Q256)</f>
        <v>0</v>
      </c>
    </row>
    <row r="257" spans="1:18" ht="15.75">
      <c r="A257" s="59" t="s">
        <v>1</v>
      </c>
      <c r="B257" s="60">
        <v>0</v>
      </c>
      <c r="C257" s="163">
        <v>0</v>
      </c>
      <c r="D257" s="60" t="s">
        <v>272</v>
      </c>
      <c r="E257" s="112">
        <f>+'ORÇ - CONSOLIDADO'!H280</f>
        <v>0</v>
      </c>
      <c r="F257" s="33"/>
      <c r="G257" s="33"/>
      <c r="H257" s="33"/>
      <c r="I257" s="33"/>
      <c r="J257" s="33"/>
      <c r="K257" s="33"/>
      <c r="L257" s="33"/>
      <c r="M257" s="33"/>
      <c r="N257" s="33"/>
      <c r="O257" s="34" t="e">
        <f>$E257/$E$257/3*100</f>
        <v>#DIV/0!</v>
      </c>
      <c r="P257" s="34" t="e">
        <f>$E257/$E$257/3*100</f>
        <v>#DIV/0!</v>
      </c>
      <c r="Q257" s="34" t="e">
        <f>$E257/$E$257/3*100</f>
        <v>#DIV/0!</v>
      </c>
      <c r="R257" s="148" t="e">
        <f>SUM(F257:Q257)</f>
        <v>#DIV/0!</v>
      </c>
    </row>
    <row r="258" spans="1:18" ht="15.75">
      <c r="A258" s="50" t="s">
        <v>561</v>
      </c>
      <c r="B258" s="116">
        <v>0</v>
      </c>
      <c r="C258" s="164"/>
      <c r="D258" s="151" t="s">
        <v>714</v>
      </c>
      <c r="E258" s="118">
        <f>+'ORÇ - CONSOLIDADO'!H281</f>
        <v>0</v>
      </c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148">
        <f>SUM(F258:Q258)</f>
        <v>0</v>
      </c>
    </row>
    <row r="259" spans="1:18" ht="15.75">
      <c r="A259" s="57" t="s">
        <v>562</v>
      </c>
      <c r="B259" s="155" t="s">
        <v>253</v>
      </c>
      <c r="C259" s="156" t="s">
        <v>233</v>
      </c>
      <c r="D259" s="53" t="e">
        <f>VLOOKUP(C259,#REF!,3,FALSE)</f>
        <v>#REF!</v>
      </c>
      <c r="E259" s="113">
        <f>+'ORÇ - CONSOLIDADO'!H282</f>
        <v>0</v>
      </c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148">
        <f aca="true" t="shared" si="33" ref="R259:R308">SUM(F259:Q259)</f>
        <v>0</v>
      </c>
    </row>
    <row r="260" spans="1:18" ht="15.75">
      <c r="A260" s="57" t="s">
        <v>579</v>
      </c>
      <c r="B260" s="51" t="s">
        <v>253</v>
      </c>
      <c r="C260" s="157" t="s">
        <v>237</v>
      </c>
      <c r="D260" s="53" t="e">
        <f>VLOOKUP(C260,#REF!,3,FALSE)</f>
        <v>#REF!</v>
      </c>
      <c r="E260" s="113">
        <f>+'ORÇ - CONSOLIDADO'!H283</f>
        <v>0</v>
      </c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148">
        <f t="shared" si="33"/>
        <v>0</v>
      </c>
    </row>
    <row r="261" spans="1:18" ht="15.75">
      <c r="A261" s="57" t="s">
        <v>681</v>
      </c>
      <c r="B261" s="51" t="s">
        <v>253</v>
      </c>
      <c r="C261" s="157" t="s">
        <v>915</v>
      </c>
      <c r="D261" s="53" t="e">
        <f>VLOOKUP(C261,#REF!,3,FALSE)</f>
        <v>#REF!</v>
      </c>
      <c r="E261" s="113">
        <f>+'ORÇ - CONSOLIDADO'!H284</f>
        <v>0</v>
      </c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148">
        <f t="shared" si="33"/>
        <v>0</v>
      </c>
    </row>
    <row r="262" spans="1:18" ht="15.75">
      <c r="A262" s="57" t="s">
        <v>682</v>
      </c>
      <c r="B262" s="51" t="s">
        <v>253</v>
      </c>
      <c r="C262" s="157" t="s">
        <v>669</v>
      </c>
      <c r="D262" s="53" t="e">
        <f>VLOOKUP(C262,#REF!,3,FALSE)</f>
        <v>#REF!</v>
      </c>
      <c r="E262" s="113">
        <f>+'ORÇ - CONSOLIDADO'!H285</f>
        <v>0</v>
      </c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148">
        <f t="shared" si="33"/>
        <v>0</v>
      </c>
    </row>
    <row r="263" spans="1:18" ht="15.75">
      <c r="A263" s="57" t="s">
        <v>1061</v>
      </c>
      <c r="B263" s="51" t="s">
        <v>253</v>
      </c>
      <c r="C263" s="157" t="s">
        <v>231</v>
      </c>
      <c r="D263" s="53" t="e">
        <f>VLOOKUP(C263,#REF!,3,FALSE)</f>
        <v>#REF!</v>
      </c>
      <c r="E263" s="113">
        <f>+'ORÇ - CONSOLIDADO'!H286</f>
        <v>0</v>
      </c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148">
        <f t="shared" si="33"/>
        <v>0</v>
      </c>
    </row>
    <row r="264" spans="1:18" ht="15.75">
      <c r="A264" s="57" t="s">
        <v>1062</v>
      </c>
      <c r="B264" s="155" t="s">
        <v>253</v>
      </c>
      <c r="C264" s="157" t="s">
        <v>673</v>
      </c>
      <c r="D264" s="53" t="e">
        <f>VLOOKUP(C264,#REF!,3,FALSE)</f>
        <v>#REF!</v>
      </c>
      <c r="E264" s="113">
        <f>+'ORÇ - CONSOLIDADO'!H287</f>
        <v>0</v>
      </c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148">
        <f t="shared" si="33"/>
        <v>0</v>
      </c>
    </row>
    <row r="265" spans="1:18" ht="15.75">
      <c r="A265" s="57" t="s">
        <v>683</v>
      </c>
      <c r="B265" s="155" t="s">
        <v>253</v>
      </c>
      <c r="C265" s="158" t="s">
        <v>671</v>
      </c>
      <c r="D265" s="53" t="e">
        <f>VLOOKUP(C265,#REF!,3,FALSE)</f>
        <v>#REF!</v>
      </c>
      <c r="E265" s="113">
        <f>+'ORÇ - CONSOLIDADO'!H288</f>
        <v>0</v>
      </c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148">
        <f t="shared" si="33"/>
        <v>0</v>
      </c>
    </row>
    <row r="266" spans="1:18" ht="15.75">
      <c r="A266" s="57" t="s">
        <v>684</v>
      </c>
      <c r="B266" s="155" t="s">
        <v>253</v>
      </c>
      <c r="C266" s="158" t="s">
        <v>239</v>
      </c>
      <c r="D266" s="53" t="e">
        <f>VLOOKUP(C266,#REF!,3,FALSE)</f>
        <v>#REF!</v>
      </c>
      <c r="E266" s="113">
        <f>+'ORÇ - CONSOLIDADO'!H289</f>
        <v>0</v>
      </c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148">
        <f t="shared" si="33"/>
        <v>0</v>
      </c>
    </row>
    <row r="267" spans="1:18" ht="15.75">
      <c r="A267" s="57" t="s">
        <v>1063</v>
      </c>
      <c r="B267" s="64" t="s">
        <v>253</v>
      </c>
      <c r="C267" s="165" t="s">
        <v>917</v>
      </c>
      <c r="D267" s="53" t="e">
        <f>VLOOKUP(C267,#REF!,3,FALSE)</f>
        <v>#REF!</v>
      </c>
      <c r="E267" s="113">
        <f>+'ORÇ - CONSOLIDADO'!H290</f>
        <v>0</v>
      </c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148">
        <f t="shared" si="33"/>
        <v>0</v>
      </c>
    </row>
    <row r="268" spans="1:18" ht="15.75">
      <c r="A268" s="57" t="s">
        <v>685</v>
      </c>
      <c r="B268" s="64" t="s">
        <v>253</v>
      </c>
      <c r="C268" s="165" t="s">
        <v>919</v>
      </c>
      <c r="D268" s="53" t="e">
        <f>VLOOKUP(C268,#REF!,3,FALSE)</f>
        <v>#REF!</v>
      </c>
      <c r="E268" s="113">
        <f>+'ORÇ - CONSOLIDADO'!H291</f>
        <v>0</v>
      </c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148">
        <f t="shared" si="33"/>
        <v>0</v>
      </c>
    </row>
    <row r="269" spans="1:18" ht="15.75">
      <c r="A269" s="57" t="s">
        <v>1064</v>
      </c>
      <c r="B269" s="64" t="s">
        <v>253</v>
      </c>
      <c r="C269" s="165" t="s">
        <v>921</v>
      </c>
      <c r="D269" s="53" t="e">
        <f>VLOOKUP(C269,#REF!,3,FALSE)</f>
        <v>#REF!</v>
      </c>
      <c r="E269" s="113">
        <f>+'ORÇ - CONSOLIDADO'!H292</f>
        <v>0</v>
      </c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148">
        <f t="shared" si="33"/>
        <v>0</v>
      </c>
    </row>
    <row r="270" spans="1:18" ht="15.75">
      <c r="A270" s="57" t="s">
        <v>1065</v>
      </c>
      <c r="B270" s="64" t="s">
        <v>253</v>
      </c>
      <c r="C270" s="165" t="s">
        <v>923</v>
      </c>
      <c r="D270" s="53" t="e">
        <f>VLOOKUP(C270,#REF!,3,FALSE)</f>
        <v>#REF!</v>
      </c>
      <c r="E270" s="113">
        <f>+'ORÇ - CONSOLIDADO'!H293</f>
        <v>0</v>
      </c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148">
        <f t="shared" si="33"/>
        <v>0</v>
      </c>
    </row>
    <row r="271" spans="1:18" ht="15.75">
      <c r="A271" s="57" t="s">
        <v>1066</v>
      </c>
      <c r="B271" s="64" t="s">
        <v>390</v>
      </c>
      <c r="C271" s="165">
        <v>78051</v>
      </c>
      <c r="D271" s="53" t="e">
        <f>VLOOKUP(C271,#REF!,3,FALSE)</f>
        <v>#REF!</v>
      </c>
      <c r="E271" s="113">
        <f>+'ORÇ - CONSOLIDADO'!H294</f>
        <v>0</v>
      </c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148">
        <f t="shared" si="33"/>
        <v>0</v>
      </c>
    </row>
    <row r="272" spans="1:18" ht="15.75">
      <c r="A272" s="52"/>
      <c r="B272" s="64">
        <v>0</v>
      </c>
      <c r="C272" s="165">
        <v>0</v>
      </c>
      <c r="D272" s="162"/>
      <c r="E272" s="113">
        <f>+'ORÇ - CONSOLIDADO'!H295</f>
        <v>0</v>
      </c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148">
        <f t="shared" si="33"/>
        <v>0</v>
      </c>
    </row>
    <row r="273" spans="1:18" ht="15.75">
      <c r="A273" s="52"/>
      <c r="B273" s="58">
        <v>0</v>
      </c>
      <c r="C273" s="165"/>
      <c r="D273" s="58"/>
      <c r="E273" s="11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148">
        <f t="shared" si="33"/>
        <v>0</v>
      </c>
    </row>
    <row r="274" spans="1:18" ht="15.75">
      <c r="A274" s="59" t="s">
        <v>2</v>
      </c>
      <c r="B274" s="60">
        <v>0</v>
      </c>
      <c r="C274" s="163">
        <v>0</v>
      </c>
      <c r="D274" s="60" t="s">
        <v>23</v>
      </c>
      <c r="E274" s="112">
        <f>+'ORÇ - CONSOLIDADO'!H296</f>
        <v>0</v>
      </c>
      <c r="F274" s="33"/>
      <c r="G274" s="33"/>
      <c r="H274" s="33"/>
      <c r="I274" s="149" t="e">
        <f>+$E274/$E$274/8*100</f>
        <v>#DIV/0!</v>
      </c>
      <c r="J274" s="149" t="e">
        <f aca="true" t="shared" si="34" ref="J274:P274">+$E274/$E$274/8*100</f>
        <v>#DIV/0!</v>
      </c>
      <c r="K274" s="149" t="e">
        <f t="shared" si="34"/>
        <v>#DIV/0!</v>
      </c>
      <c r="L274" s="149" t="e">
        <f t="shared" si="34"/>
        <v>#DIV/0!</v>
      </c>
      <c r="M274" s="149" t="e">
        <f t="shared" si="34"/>
        <v>#DIV/0!</v>
      </c>
      <c r="N274" s="149" t="e">
        <f t="shared" si="34"/>
        <v>#DIV/0!</v>
      </c>
      <c r="O274" s="149" t="e">
        <f t="shared" si="34"/>
        <v>#DIV/0!</v>
      </c>
      <c r="P274" s="149" t="e">
        <f t="shared" si="34"/>
        <v>#DIV/0!</v>
      </c>
      <c r="Q274" s="33"/>
      <c r="R274" s="148" t="e">
        <f t="shared" si="33"/>
        <v>#DIV/0!</v>
      </c>
    </row>
    <row r="275" spans="1:18" ht="15.75">
      <c r="A275" s="50" t="s">
        <v>564</v>
      </c>
      <c r="B275" s="116">
        <v>0</v>
      </c>
      <c r="C275" s="164"/>
      <c r="D275" s="151" t="s">
        <v>1022</v>
      </c>
      <c r="E275" s="118">
        <f>+'ORÇ - CONSOLIDADO'!H297</f>
        <v>0</v>
      </c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148">
        <f t="shared" si="33"/>
        <v>0</v>
      </c>
    </row>
    <row r="276" spans="1:18" ht="47.25">
      <c r="A276" s="50" t="s">
        <v>1068</v>
      </c>
      <c r="B276" s="202" t="s">
        <v>8</v>
      </c>
      <c r="C276" s="166" t="s">
        <v>695</v>
      </c>
      <c r="D276" s="53" t="s">
        <v>1023</v>
      </c>
      <c r="E276" s="113">
        <f>+'ORÇ - CONSOLIDADO'!H298</f>
        <v>0</v>
      </c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148">
        <f t="shared" si="33"/>
        <v>0</v>
      </c>
    </row>
    <row r="277" spans="1:18" ht="15.75">
      <c r="A277" s="50"/>
      <c r="B277" s="154"/>
      <c r="C277" s="166"/>
      <c r="D277" s="53"/>
      <c r="E277" s="113">
        <f>+'ORÇ - CONSOLIDADO'!H299</f>
        <v>0</v>
      </c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148">
        <f t="shared" si="33"/>
        <v>0</v>
      </c>
    </row>
    <row r="278" spans="1:18" ht="15.75">
      <c r="A278" s="50"/>
      <c r="B278" s="154"/>
      <c r="C278" s="166"/>
      <c r="D278" s="53" t="s">
        <v>1024</v>
      </c>
      <c r="E278" s="113">
        <f>+'ORÇ - CONSOLIDADO'!H300</f>
        <v>0</v>
      </c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148">
        <f t="shared" si="33"/>
        <v>0</v>
      </c>
    </row>
    <row r="279" spans="1:18" ht="15.75">
      <c r="A279" s="50"/>
      <c r="B279" s="154"/>
      <c r="C279" s="166"/>
      <c r="D279" s="53" t="s">
        <v>1025</v>
      </c>
      <c r="E279" s="113">
        <f>+'ORÇ - CONSOLIDADO'!H301</f>
        <v>0</v>
      </c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148">
        <f t="shared" si="33"/>
        <v>0</v>
      </c>
    </row>
    <row r="280" spans="1:18" ht="15.75">
      <c r="A280" s="50"/>
      <c r="B280" s="154"/>
      <c r="C280" s="166"/>
      <c r="D280" s="53" t="s">
        <v>1026</v>
      </c>
      <c r="E280" s="113">
        <f>+'ORÇ - CONSOLIDADO'!H302</f>
        <v>0</v>
      </c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148">
        <f t="shared" si="33"/>
        <v>0</v>
      </c>
    </row>
    <row r="281" spans="1:18" ht="15.75">
      <c r="A281" s="50"/>
      <c r="B281" s="154"/>
      <c r="C281" s="166"/>
      <c r="D281" s="53" t="s">
        <v>1027</v>
      </c>
      <c r="E281" s="113">
        <f>+'ORÇ - CONSOLIDADO'!H303</f>
        <v>0</v>
      </c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148">
        <f t="shared" si="33"/>
        <v>0</v>
      </c>
    </row>
    <row r="282" spans="1:18" ht="15.75">
      <c r="A282" s="50"/>
      <c r="B282" s="154"/>
      <c r="C282" s="166"/>
      <c r="D282" s="53" t="s">
        <v>1028</v>
      </c>
      <c r="E282" s="113">
        <f>+'ORÇ - CONSOLIDADO'!H304</f>
        <v>0</v>
      </c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148">
        <f t="shared" si="33"/>
        <v>0</v>
      </c>
    </row>
    <row r="283" spans="1:18" ht="15.75">
      <c r="A283" s="50"/>
      <c r="B283" s="154"/>
      <c r="C283" s="166"/>
      <c r="D283" s="53"/>
      <c r="E283" s="113">
        <f>+'ORÇ - CONSOLIDADO'!H305</f>
        <v>0</v>
      </c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148">
        <f t="shared" si="33"/>
        <v>0</v>
      </c>
    </row>
    <row r="284" spans="1:18" ht="15.75">
      <c r="A284" s="50"/>
      <c r="B284" s="154"/>
      <c r="C284" s="166"/>
      <c r="D284" s="53" t="s">
        <v>1029</v>
      </c>
      <c r="E284" s="113">
        <f>+'ORÇ - CONSOLIDADO'!H306</f>
        <v>0</v>
      </c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148">
        <f t="shared" si="33"/>
        <v>0</v>
      </c>
    </row>
    <row r="285" spans="1:18" ht="15.75">
      <c r="A285" s="50"/>
      <c r="B285" s="154"/>
      <c r="C285" s="166"/>
      <c r="D285" s="53" t="s">
        <v>1030</v>
      </c>
      <c r="E285" s="113">
        <f>+'ORÇ - CONSOLIDADO'!H307</f>
        <v>0</v>
      </c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148">
        <f t="shared" si="33"/>
        <v>0</v>
      </c>
    </row>
    <row r="286" spans="1:18" ht="31.5">
      <c r="A286" s="50"/>
      <c r="B286" s="154"/>
      <c r="C286" s="166"/>
      <c r="D286" s="53" t="s">
        <v>1031</v>
      </c>
      <c r="E286" s="113">
        <f>+'ORÇ - CONSOLIDADO'!H308</f>
        <v>0</v>
      </c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148">
        <f t="shared" si="33"/>
        <v>0</v>
      </c>
    </row>
    <row r="287" spans="1:18" ht="15.75">
      <c r="A287" s="50"/>
      <c r="B287" s="154"/>
      <c r="C287" s="166"/>
      <c r="D287" s="53"/>
      <c r="E287" s="113">
        <f>+'ORÇ - CONSOLIDADO'!H309</f>
        <v>0</v>
      </c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148">
        <f t="shared" si="33"/>
        <v>0</v>
      </c>
    </row>
    <row r="288" spans="1:18" ht="15.75">
      <c r="A288" s="50"/>
      <c r="B288" s="154"/>
      <c r="C288" s="166"/>
      <c r="D288" s="53" t="s">
        <v>1032</v>
      </c>
      <c r="E288" s="113">
        <f>+'ORÇ - CONSOLIDADO'!H310</f>
        <v>0</v>
      </c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148">
        <f t="shared" si="33"/>
        <v>0</v>
      </c>
    </row>
    <row r="289" spans="1:18" ht="15.75">
      <c r="A289" s="50"/>
      <c r="B289" s="154"/>
      <c r="C289" s="166"/>
      <c r="D289" s="53" t="s">
        <v>1033</v>
      </c>
      <c r="E289" s="113">
        <f>+'ORÇ - CONSOLIDADO'!H311</f>
        <v>0</v>
      </c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148">
        <f t="shared" si="33"/>
        <v>0</v>
      </c>
    </row>
    <row r="290" spans="1:18" ht="31.5">
      <c r="A290" s="50"/>
      <c r="B290" s="154"/>
      <c r="C290" s="166"/>
      <c r="D290" s="53" t="s">
        <v>1034</v>
      </c>
      <c r="E290" s="113">
        <f>+'ORÇ - CONSOLIDADO'!H312</f>
        <v>0</v>
      </c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148">
        <f t="shared" si="33"/>
        <v>0</v>
      </c>
    </row>
    <row r="291" spans="1:18" ht="31.5">
      <c r="A291" s="50"/>
      <c r="B291" s="154"/>
      <c r="C291" s="166"/>
      <c r="D291" s="53" t="s">
        <v>1035</v>
      </c>
      <c r="E291" s="113">
        <f>+'ORÇ - CONSOLIDADO'!H313</f>
        <v>0</v>
      </c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148">
        <f t="shared" si="33"/>
        <v>0</v>
      </c>
    </row>
    <row r="292" spans="1:18" ht="31.5">
      <c r="A292" s="50"/>
      <c r="B292" s="154"/>
      <c r="C292" s="166"/>
      <c r="D292" s="53" t="s">
        <v>1036</v>
      </c>
      <c r="E292" s="113">
        <f>+'ORÇ - CONSOLIDADO'!H314</f>
        <v>0</v>
      </c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148">
        <f t="shared" si="33"/>
        <v>0</v>
      </c>
    </row>
    <row r="293" spans="1:18" ht="47.25">
      <c r="A293" s="50"/>
      <c r="B293" s="154"/>
      <c r="C293" s="166"/>
      <c r="D293" s="53" t="s">
        <v>1037</v>
      </c>
      <c r="E293" s="113">
        <f>+'ORÇ - CONSOLIDADO'!H315</f>
        <v>0</v>
      </c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148">
        <f t="shared" si="33"/>
        <v>0</v>
      </c>
    </row>
    <row r="294" spans="1:18" ht="15.75">
      <c r="A294" s="50"/>
      <c r="B294" s="154"/>
      <c r="C294" s="166"/>
      <c r="D294" s="53"/>
      <c r="E294" s="113">
        <f>+'ORÇ - CONSOLIDADO'!H316</f>
        <v>0</v>
      </c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148">
        <f t="shared" si="33"/>
        <v>0</v>
      </c>
    </row>
    <row r="295" spans="1:18" ht="15.75">
      <c r="A295" s="50"/>
      <c r="B295" s="154"/>
      <c r="C295" s="166"/>
      <c r="D295" s="53" t="s">
        <v>1038</v>
      </c>
      <c r="E295" s="113">
        <f>+'ORÇ - CONSOLIDADO'!H317</f>
        <v>0</v>
      </c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148">
        <f t="shared" si="33"/>
        <v>0</v>
      </c>
    </row>
    <row r="296" spans="1:18" ht="15.75">
      <c r="A296" s="50"/>
      <c r="B296" s="154"/>
      <c r="C296" s="166"/>
      <c r="D296" s="53" t="s">
        <v>1030</v>
      </c>
      <c r="E296" s="113">
        <f>+'ORÇ - CONSOLIDADO'!H318</f>
        <v>0</v>
      </c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148">
        <f t="shared" si="33"/>
        <v>0</v>
      </c>
    </row>
    <row r="297" spans="1:18" ht="47.25">
      <c r="A297" s="50"/>
      <c r="B297" s="154"/>
      <c r="C297" s="166"/>
      <c r="D297" s="53" t="s">
        <v>1039</v>
      </c>
      <c r="E297" s="113">
        <f>+'ORÇ - CONSOLIDADO'!H319</f>
        <v>0</v>
      </c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148">
        <f t="shared" si="33"/>
        <v>0</v>
      </c>
    </row>
    <row r="298" spans="1:18" ht="15.75">
      <c r="A298" s="50"/>
      <c r="B298" s="154"/>
      <c r="C298" s="166"/>
      <c r="D298" s="53"/>
      <c r="E298" s="113">
        <f>+'ORÇ - CONSOLIDADO'!H320</f>
        <v>0</v>
      </c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148">
        <f t="shared" si="33"/>
        <v>0</v>
      </c>
    </row>
    <row r="299" spans="1:18" ht="15.75">
      <c r="A299" s="50"/>
      <c r="B299" s="154"/>
      <c r="C299" s="166"/>
      <c r="D299" s="53" t="s">
        <v>1040</v>
      </c>
      <c r="E299" s="113">
        <f>+'ORÇ - CONSOLIDADO'!H321</f>
        <v>0</v>
      </c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148">
        <f t="shared" si="33"/>
        <v>0</v>
      </c>
    </row>
    <row r="300" spans="1:18" ht="31.5">
      <c r="A300" s="50"/>
      <c r="B300" s="154"/>
      <c r="C300" s="166"/>
      <c r="D300" s="53" t="s">
        <v>1041</v>
      </c>
      <c r="E300" s="113">
        <f>+'ORÇ - CONSOLIDADO'!H322</f>
        <v>0</v>
      </c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148">
        <f t="shared" si="33"/>
        <v>0</v>
      </c>
    </row>
    <row r="301" spans="1:18" ht="94.5">
      <c r="A301" s="50"/>
      <c r="B301" s="154"/>
      <c r="C301" s="166"/>
      <c r="D301" s="53" t="s">
        <v>1042</v>
      </c>
      <c r="E301" s="113">
        <f>+'ORÇ - CONSOLIDADO'!H324</f>
        <v>0</v>
      </c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148">
        <f t="shared" si="33"/>
        <v>0</v>
      </c>
    </row>
    <row r="302" spans="1:18" ht="15.75">
      <c r="A302" s="50"/>
      <c r="B302" s="154"/>
      <c r="C302" s="166"/>
      <c r="D302" s="53"/>
      <c r="E302" s="113" t="e">
        <f>+'ORÇ - CONSOLIDADO'!#REF!</f>
        <v>#REF!</v>
      </c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148">
        <f t="shared" si="33"/>
        <v>0</v>
      </c>
    </row>
    <row r="303" spans="1:18" ht="15.75">
      <c r="A303" s="57" t="s">
        <v>565</v>
      </c>
      <c r="B303" s="154" t="s">
        <v>253</v>
      </c>
      <c r="C303" s="166" t="s">
        <v>659</v>
      </c>
      <c r="D303" s="53" t="e">
        <f>VLOOKUP(C303,#REF!,3,FALSE)</f>
        <v>#REF!</v>
      </c>
      <c r="E303" s="113">
        <f>+'ORÇ - CONSOLIDADO'!H325</f>
        <v>0</v>
      </c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148">
        <f t="shared" si="33"/>
        <v>0</v>
      </c>
    </row>
    <row r="304" spans="1:18" ht="15.75">
      <c r="A304" s="57" t="s">
        <v>566</v>
      </c>
      <c r="B304" s="154" t="s">
        <v>253</v>
      </c>
      <c r="C304" s="166" t="s">
        <v>660</v>
      </c>
      <c r="D304" s="53" t="e">
        <f>VLOOKUP(C304,#REF!,3,FALSE)</f>
        <v>#REF!</v>
      </c>
      <c r="E304" s="113">
        <f>+'ORÇ - CONSOLIDADO'!H326</f>
        <v>0</v>
      </c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148">
        <f t="shared" si="33"/>
        <v>0</v>
      </c>
    </row>
    <row r="305" spans="1:18" ht="15.75">
      <c r="A305" s="57" t="s">
        <v>845</v>
      </c>
      <c r="B305" s="154" t="s">
        <v>253</v>
      </c>
      <c r="C305" s="166" t="s">
        <v>661</v>
      </c>
      <c r="D305" s="53" t="e">
        <f>VLOOKUP(C305,#REF!,3,FALSE)</f>
        <v>#REF!</v>
      </c>
      <c r="E305" s="113">
        <f>+'ORÇ - CONSOLIDADO'!H327</f>
        <v>0</v>
      </c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148">
        <f t="shared" si="33"/>
        <v>0</v>
      </c>
    </row>
    <row r="306" spans="1:18" ht="15.75">
      <c r="A306" s="57" t="s">
        <v>1069</v>
      </c>
      <c r="B306" s="154" t="s">
        <v>253</v>
      </c>
      <c r="C306" s="166" t="s">
        <v>925</v>
      </c>
      <c r="D306" s="53" t="e">
        <f>VLOOKUP(C306,#REF!,3,FALSE)</f>
        <v>#REF!</v>
      </c>
      <c r="E306" s="113">
        <f>+'ORÇ - CONSOLIDADO'!H328</f>
        <v>0</v>
      </c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148">
        <f t="shared" si="33"/>
        <v>0</v>
      </c>
    </row>
    <row r="307" spans="1:18" ht="15.75">
      <c r="A307" s="57" t="s">
        <v>846</v>
      </c>
      <c r="B307" s="154" t="s">
        <v>253</v>
      </c>
      <c r="C307" s="166" t="s">
        <v>662</v>
      </c>
      <c r="D307" s="53" t="e">
        <f>VLOOKUP(C307,#REF!,3,FALSE)</f>
        <v>#REF!</v>
      </c>
      <c r="E307" s="113">
        <f>+'ORÇ - CONSOLIDADO'!H329</f>
        <v>0</v>
      </c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148">
        <f t="shared" si="33"/>
        <v>0</v>
      </c>
    </row>
    <row r="308" spans="1:18" ht="15.75">
      <c r="A308" s="57" t="s">
        <v>847</v>
      </c>
      <c r="B308" s="154" t="s">
        <v>253</v>
      </c>
      <c r="C308" s="166" t="s">
        <v>927</v>
      </c>
      <c r="D308" s="53" t="e">
        <f>VLOOKUP(C308,#REF!,3,FALSE)</f>
        <v>#REF!</v>
      </c>
      <c r="E308" s="113">
        <f>+'ORÇ - CONSOLIDADO'!H330</f>
        <v>0</v>
      </c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148">
        <f t="shared" si="33"/>
        <v>0</v>
      </c>
    </row>
    <row r="309" spans="1:18" ht="15.75">
      <c r="A309" s="57" t="s">
        <v>1070</v>
      </c>
      <c r="B309" s="58" t="s">
        <v>253</v>
      </c>
      <c r="C309" s="136" t="s">
        <v>929</v>
      </c>
      <c r="D309" s="53" t="e">
        <f>VLOOKUP(C309,#REF!,3,FALSE)</f>
        <v>#REF!</v>
      </c>
      <c r="E309" s="113">
        <f>+'ORÇ - CONSOLIDADO'!H331</f>
        <v>0</v>
      </c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148">
        <f aca="true" t="shared" si="35" ref="R309:R351">SUM(F309:Q309)</f>
        <v>0</v>
      </c>
    </row>
    <row r="310" spans="1:18" ht="15.75">
      <c r="A310" s="57" t="s">
        <v>1071</v>
      </c>
      <c r="B310" s="58" t="s">
        <v>253</v>
      </c>
      <c r="C310" s="136" t="s">
        <v>931</v>
      </c>
      <c r="D310" s="53" t="e">
        <f>VLOOKUP(C310,#REF!,3,FALSE)</f>
        <v>#REF!</v>
      </c>
      <c r="E310" s="113">
        <f>+'ORÇ - CONSOLIDADO'!H332</f>
        <v>0</v>
      </c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148">
        <f t="shared" si="35"/>
        <v>0</v>
      </c>
    </row>
    <row r="311" spans="1:18" ht="15.75">
      <c r="A311" s="57" t="s">
        <v>1072</v>
      </c>
      <c r="B311" s="58" t="s">
        <v>253</v>
      </c>
      <c r="C311" s="136" t="s">
        <v>933</v>
      </c>
      <c r="D311" s="53" t="e">
        <f>VLOOKUP(C311,#REF!,3,FALSE)</f>
        <v>#REF!</v>
      </c>
      <c r="E311" s="113">
        <f>+'ORÇ - CONSOLIDADO'!H333</f>
        <v>0</v>
      </c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148">
        <f t="shared" si="35"/>
        <v>0</v>
      </c>
    </row>
    <row r="312" spans="1:18" ht="15.75">
      <c r="A312" s="57" t="s">
        <v>1073</v>
      </c>
      <c r="B312" s="58" t="s">
        <v>253</v>
      </c>
      <c r="C312" s="136" t="s">
        <v>935</v>
      </c>
      <c r="D312" s="53" t="e">
        <f>VLOOKUP(C312,#REF!,3,FALSE)</f>
        <v>#REF!</v>
      </c>
      <c r="E312" s="113">
        <f>+'ORÇ - CONSOLIDADO'!H334</f>
        <v>0</v>
      </c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148">
        <f t="shared" si="35"/>
        <v>0</v>
      </c>
    </row>
    <row r="313" spans="1:18" ht="15.75">
      <c r="A313" s="57" t="s">
        <v>1074</v>
      </c>
      <c r="B313" s="180" t="s">
        <v>797</v>
      </c>
      <c r="C313" s="159" t="e">
        <f>+#REF!</f>
        <v>#REF!</v>
      </c>
      <c r="D313" s="200" t="e">
        <f>+#REF!</f>
        <v>#REF!</v>
      </c>
      <c r="E313" s="113">
        <f>+'ORÇ - CONSOLIDADO'!H335</f>
        <v>0</v>
      </c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148">
        <f t="shared" si="35"/>
        <v>0</v>
      </c>
    </row>
    <row r="314" spans="1:18" ht="15.75">
      <c r="A314" s="57" t="s">
        <v>1075</v>
      </c>
      <c r="B314" s="58" t="s">
        <v>253</v>
      </c>
      <c r="C314" s="136" t="s">
        <v>937</v>
      </c>
      <c r="D314" s="53" t="e">
        <f>VLOOKUP(C314,#REF!,3,FALSE)</f>
        <v>#REF!</v>
      </c>
      <c r="E314" s="113">
        <f>+'ORÇ - CONSOLIDADO'!H336</f>
        <v>0</v>
      </c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148">
        <f t="shared" si="35"/>
        <v>0</v>
      </c>
    </row>
    <row r="315" spans="1:18" ht="15.75">
      <c r="A315" s="57" t="s">
        <v>1076</v>
      </c>
      <c r="B315" s="58" t="s">
        <v>390</v>
      </c>
      <c r="C315" s="136">
        <v>53040</v>
      </c>
      <c r="D315" s="53" t="e">
        <f>VLOOKUP(C315,#REF!,3,FALSE)</f>
        <v>#REF!</v>
      </c>
      <c r="E315" s="113">
        <f>+'ORÇ - CONSOLIDADO'!H337</f>
        <v>0</v>
      </c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148">
        <f t="shared" si="35"/>
        <v>0</v>
      </c>
    </row>
    <row r="316" spans="1:18" ht="15.75">
      <c r="A316" s="57" t="s">
        <v>1077</v>
      </c>
      <c r="B316" s="180" t="s">
        <v>797</v>
      </c>
      <c r="C316" s="159" t="e">
        <f>+#REF!</f>
        <v>#REF!</v>
      </c>
      <c r="D316" s="200" t="e">
        <f>+#REF!</f>
        <v>#REF!</v>
      </c>
      <c r="E316" s="113">
        <f>+'ORÇ - CONSOLIDADO'!H338</f>
        <v>0</v>
      </c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148">
        <f t="shared" si="35"/>
        <v>0</v>
      </c>
    </row>
    <row r="317" spans="1:18" ht="15.75">
      <c r="A317" s="57" t="s">
        <v>1078</v>
      </c>
      <c r="B317" s="58" t="s">
        <v>253</v>
      </c>
      <c r="C317" s="136" t="s">
        <v>940</v>
      </c>
      <c r="D317" s="53" t="e">
        <f>VLOOKUP(C317,#REF!,3,FALSE)</f>
        <v>#REF!</v>
      </c>
      <c r="E317" s="113">
        <f>+'ORÇ - CONSOLIDADO'!H339</f>
        <v>0</v>
      </c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148">
        <f t="shared" si="35"/>
        <v>0</v>
      </c>
    </row>
    <row r="318" spans="1:18" ht="15.75">
      <c r="A318" s="57" t="s">
        <v>1079</v>
      </c>
      <c r="B318" s="58" t="s">
        <v>253</v>
      </c>
      <c r="C318" s="136" t="s">
        <v>235</v>
      </c>
      <c r="D318" s="53" t="e">
        <f>VLOOKUP(C318,#REF!,3,FALSE)</f>
        <v>#REF!</v>
      </c>
      <c r="E318" s="113">
        <f>+'ORÇ - CONSOLIDADO'!H340</f>
        <v>0</v>
      </c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148">
        <f t="shared" si="35"/>
        <v>0</v>
      </c>
    </row>
    <row r="319" spans="1:18" ht="15.75">
      <c r="A319" s="57" t="s">
        <v>1080</v>
      </c>
      <c r="B319" s="58" t="s">
        <v>253</v>
      </c>
      <c r="C319" s="136" t="s">
        <v>942</v>
      </c>
      <c r="D319" s="53" t="e">
        <f>VLOOKUP(C319,#REF!,3,FALSE)</f>
        <v>#REF!</v>
      </c>
      <c r="E319" s="113">
        <f>+'ORÇ - CONSOLIDADO'!H341</f>
        <v>0</v>
      </c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148">
        <f t="shared" si="35"/>
        <v>0</v>
      </c>
    </row>
    <row r="320" spans="1:18" ht="15.75">
      <c r="A320" s="57" t="s">
        <v>1081</v>
      </c>
      <c r="B320" s="51" t="s">
        <v>253</v>
      </c>
      <c r="C320" s="157" t="s">
        <v>669</v>
      </c>
      <c r="D320" s="53" t="e">
        <f>VLOOKUP(C320,#REF!,3,FALSE)</f>
        <v>#REF!</v>
      </c>
      <c r="E320" s="113">
        <f>+'ORÇ - CONSOLIDADO'!H342</f>
        <v>0</v>
      </c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148">
        <f t="shared" si="35"/>
        <v>0</v>
      </c>
    </row>
    <row r="321" spans="1:18" ht="15.75">
      <c r="A321" s="57" t="s">
        <v>1082</v>
      </c>
      <c r="B321" s="51" t="s">
        <v>253</v>
      </c>
      <c r="C321" s="157" t="s">
        <v>231</v>
      </c>
      <c r="D321" s="53" t="e">
        <f>VLOOKUP(C321,#REF!,3,FALSE)</f>
        <v>#REF!</v>
      </c>
      <c r="E321" s="113">
        <f>+'ORÇ - CONSOLIDADO'!H343</f>
        <v>0</v>
      </c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148">
        <f t="shared" si="35"/>
        <v>0</v>
      </c>
    </row>
    <row r="322" spans="1:18" ht="15.75">
      <c r="A322" s="57" t="s">
        <v>1083</v>
      </c>
      <c r="B322" s="58" t="s">
        <v>253</v>
      </c>
      <c r="C322" s="136" t="s">
        <v>944</v>
      </c>
      <c r="D322" s="53" t="e">
        <f>VLOOKUP(C322,#REF!,3,FALSE)</f>
        <v>#REF!</v>
      </c>
      <c r="E322" s="113">
        <f>+'ORÇ - CONSOLIDADO'!H344</f>
        <v>0</v>
      </c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148">
        <f t="shared" si="35"/>
        <v>0</v>
      </c>
    </row>
    <row r="323" spans="1:18" ht="15.75">
      <c r="A323" s="57" t="s">
        <v>1084</v>
      </c>
      <c r="B323" s="58" t="s">
        <v>253</v>
      </c>
      <c r="C323" s="136" t="s">
        <v>923</v>
      </c>
      <c r="D323" s="53" t="e">
        <f>VLOOKUP(C323,#REF!,3,FALSE)</f>
        <v>#REF!</v>
      </c>
      <c r="E323" s="113">
        <f>+'ORÇ - CONSOLIDADO'!H345</f>
        <v>0</v>
      </c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148">
        <f t="shared" si="35"/>
        <v>0</v>
      </c>
    </row>
    <row r="324" spans="1:18" ht="15.75">
      <c r="A324" s="57" t="s">
        <v>1085</v>
      </c>
      <c r="B324" s="58" t="s">
        <v>253</v>
      </c>
      <c r="C324" s="136" t="s">
        <v>946</v>
      </c>
      <c r="D324" s="53" t="e">
        <f>VLOOKUP(C324,#REF!,3,FALSE)</f>
        <v>#REF!</v>
      </c>
      <c r="E324" s="113">
        <f>+'ORÇ - CONSOLIDADO'!H346</f>
        <v>0</v>
      </c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148">
        <f t="shared" si="35"/>
        <v>0</v>
      </c>
    </row>
    <row r="325" spans="1:18" ht="15.75">
      <c r="A325" s="57" t="s">
        <v>1086</v>
      </c>
      <c r="B325" s="58" t="s">
        <v>390</v>
      </c>
      <c r="C325" s="136">
        <v>63227</v>
      </c>
      <c r="D325" s="53" t="e">
        <f>VLOOKUP(C325,#REF!,3,FALSE)</f>
        <v>#REF!</v>
      </c>
      <c r="E325" s="113">
        <f>+'ORÇ - CONSOLIDADO'!H347</f>
        <v>0</v>
      </c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148">
        <f t="shared" si="35"/>
        <v>0</v>
      </c>
    </row>
    <row r="326" spans="1:18" ht="15.75">
      <c r="A326" s="57" t="s">
        <v>1087</v>
      </c>
      <c r="B326" s="58" t="s">
        <v>253</v>
      </c>
      <c r="C326" s="136" t="s">
        <v>658</v>
      </c>
      <c r="D326" s="53" t="e">
        <f>VLOOKUP(C326,#REF!,3,FALSE)</f>
        <v>#REF!</v>
      </c>
      <c r="E326" s="113">
        <f>+'ORÇ - CONSOLIDADO'!H348</f>
        <v>0</v>
      </c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148">
        <f t="shared" si="35"/>
        <v>0</v>
      </c>
    </row>
    <row r="327" spans="1:18" ht="15.75">
      <c r="A327" s="57" t="s">
        <v>1088</v>
      </c>
      <c r="B327" s="58" t="s">
        <v>390</v>
      </c>
      <c r="C327" s="136">
        <v>68163</v>
      </c>
      <c r="D327" s="53" t="e">
        <f>VLOOKUP(C327,#REF!,3,FALSE)</f>
        <v>#REF!</v>
      </c>
      <c r="E327" s="113">
        <f>+'ORÇ - CONSOLIDADO'!H349</f>
        <v>0</v>
      </c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148">
        <f t="shared" si="35"/>
        <v>0</v>
      </c>
    </row>
    <row r="328" spans="1:18" ht="15.75">
      <c r="A328" s="57" t="s">
        <v>1089</v>
      </c>
      <c r="B328" s="58" t="s">
        <v>390</v>
      </c>
      <c r="C328" s="136">
        <v>68020</v>
      </c>
      <c r="D328" s="53" t="e">
        <f>VLOOKUP(C328,#REF!,3,FALSE)</f>
        <v>#REF!</v>
      </c>
      <c r="E328" s="113">
        <f>+'ORÇ - CONSOLIDADO'!H350</f>
        <v>0</v>
      </c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148">
        <f t="shared" si="35"/>
        <v>0</v>
      </c>
    </row>
    <row r="329" spans="1:18" ht="15.75">
      <c r="A329" s="57" t="s">
        <v>1090</v>
      </c>
      <c r="B329" s="58" t="s">
        <v>390</v>
      </c>
      <c r="C329" s="136">
        <v>61330</v>
      </c>
      <c r="D329" s="53" t="e">
        <f>VLOOKUP(C329,#REF!,3,FALSE)</f>
        <v>#REF!</v>
      </c>
      <c r="E329" s="113">
        <f>+'ORÇ - CONSOLIDADO'!H351</f>
        <v>0</v>
      </c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148">
        <f t="shared" si="35"/>
        <v>0</v>
      </c>
    </row>
    <row r="330" spans="1:18" ht="15.75">
      <c r="A330" s="57" t="s">
        <v>1091</v>
      </c>
      <c r="B330" s="58" t="s">
        <v>390</v>
      </c>
      <c r="C330" s="136">
        <v>59103</v>
      </c>
      <c r="D330" s="53" t="e">
        <f>VLOOKUP(C330,#REF!,3,FALSE)</f>
        <v>#REF!</v>
      </c>
      <c r="E330" s="113">
        <f>+'ORÇ - CONSOLIDADO'!H352</f>
        <v>0</v>
      </c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148">
        <f t="shared" si="35"/>
        <v>0</v>
      </c>
    </row>
    <row r="331" spans="1:18" ht="15.75">
      <c r="A331" s="57" t="s">
        <v>1092</v>
      </c>
      <c r="B331" s="58" t="s">
        <v>253</v>
      </c>
      <c r="C331" s="136" t="s">
        <v>953</v>
      </c>
      <c r="D331" s="53" t="e">
        <f>VLOOKUP(C331,#REF!,3,FALSE)</f>
        <v>#REF!</v>
      </c>
      <c r="E331" s="113">
        <f>+'ORÇ - CONSOLIDADO'!H353</f>
        <v>0</v>
      </c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148">
        <f t="shared" si="35"/>
        <v>0</v>
      </c>
    </row>
    <row r="332" spans="1:18" ht="15.75">
      <c r="A332" s="57" t="s">
        <v>1093</v>
      </c>
      <c r="B332" s="58" t="s">
        <v>253</v>
      </c>
      <c r="C332" s="136" t="s">
        <v>955</v>
      </c>
      <c r="D332" s="53" t="e">
        <f>VLOOKUP(C332,#REF!,3,FALSE)</f>
        <v>#REF!</v>
      </c>
      <c r="E332" s="113">
        <f>+'ORÇ - CONSOLIDADO'!H354</f>
        <v>0</v>
      </c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148">
        <f t="shared" si="35"/>
        <v>0</v>
      </c>
    </row>
    <row r="333" spans="1:18" ht="15.75">
      <c r="A333" s="57" t="s">
        <v>1094</v>
      </c>
      <c r="B333" s="58" t="s">
        <v>390</v>
      </c>
      <c r="C333" s="136" t="s">
        <v>958</v>
      </c>
      <c r="D333" s="53" t="e">
        <f>VLOOKUP(C333,#REF!,3,FALSE)</f>
        <v>#REF!</v>
      </c>
      <c r="E333" s="113">
        <f>+'ORÇ - CONSOLIDADO'!H355</f>
        <v>0</v>
      </c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148">
        <f t="shared" si="35"/>
        <v>0</v>
      </c>
    </row>
    <row r="334" spans="1:18" ht="15.75">
      <c r="A334" s="57" t="s">
        <v>1095</v>
      </c>
      <c r="B334" s="58" t="s">
        <v>390</v>
      </c>
      <c r="C334" s="136" t="s">
        <v>953</v>
      </c>
      <c r="D334" s="53" t="e">
        <f>VLOOKUP(C334,#REF!,3,FALSE)</f>
        <v>#REF!</v>
      </c>
      <c r="E334" s="113">
        <f>+'ORÇ - CONSOLIDADO'!H356</f>
        <v>0</v>
      </c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148">
        <f t="shared" si="35"/>
        <v>0</v>
      </c>
    </row>
    <row r="335" spans="1:18" ht="15.75">
      <c r="A335" s="57" t="s">
        <v>1096</v>
      </c>
      <c r="B335" s="58" t="s">
        <v>390</v>
      </c>
      <c r="C335" s="136">
        <v>52043</v>
      </c>
      <c r="D335" s="53" t="e">
        <f>VLOOKUP(C335,#REF!,3,FALSE)</f>
        <v>#REF!</v>
      </c>
      <c r="E335" s="113">
        <f>+'ORÇ - CONSOLIDADO'!H357</f>
        <v>0</v>
      </c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148">
        <f t="shared" si="35"/>
        <v>0</v>
      </c>
    </row>
    <row r="336" spans="1:18" ht="15.75">
      <c r="A336" s="57" t="s">
        <v>1097</v>
      </c>
      <c r="B336" s="58" t="s">
        <v>390</v>
      </c>
      <c r="C336" s="136">
        <v>56205</v>
      </c>
      <c r="D336" s="53" t="e">
        <f>VLOOKUP(C336,#REF!,3,FALSE)</f>
        <v>#REF!</v>
      </c>
      <c r="E336" s="113">
        <f>+'ORÇ - CONSOLIDADO'!H358</f>
        <v>0</v>
      </c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148">
        <f t="shared" si="35"/>
        <v>0</v>
      </c>
    </row>
    <row r="337" spans="1:18" ht="15.75">
      <c r="A337" s="57" t="s">
        <v>1098</v>
      </c>
      <c r="B337" s="58" t="s">
        <v>253</v>
      </c>
      <c r="C337" s="136" t="s">
        <v>961</v>
      </c>
      <c r="D337" s="53" t="e">
        <f>VLOOKUP(C337,#REF!,3,FALSE)</f>
        <v>#REF!</v>
      </c>
      <c r="E337" s="113">
        <f>+'ORÇ - CONSOLIDADO'!H359</f>
        <v>0</v>
      </c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148">
        <f t="shared" si="35"/>
        <v>0</v>
      </c>
    </row>
    <row r="338" spans="1:18" ht="15.75">
      <c r="A338" s="57" t="s">
        <v>1099</v>
      </c>
      <c r="B338" s="58" t="s">
        <v>253</v>
      </c>
      <c r="C338" s="136" t="s">
        <v>963</v>
      </c>
      <c r="D338" s="53" t="e">
        <f>VLOOKUP(C338,#REF!,3,FALSE)</f>
        <v>#REF!</v>
      </c>
      <c r="E338" s="113">
        <f>+'ORÇ - CONSOLIDADO'!H360</f>
        <v>0</v>
      </c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148">
        <f t="shared" si="35"/>
        <v>0</v>
      </c>
    </row>
    <row r="339" spans="1:18" ht="15.75">
      <c r="A339" s="57" t="s">
        <v>1100</v>
      </c>
      <c r="B339" s="58" t="s">
        <v>253</v>
      </c>
      <c r="C339" s="136" t="s">
        <v>965</v>
      </c>
      <c r="D339" s="53" t="e">
        <f>VLOOKUP(C339,#REF!,3,FALSE)</f>
        <v>#REF!</v>
      </c>
      <c r="E339" s="113">
        <f>+'ORÇ - CONSOLIDADO'!H361</f>
        <v>0</v>
      </c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148">
        <f t="shared" si="35"/>
        <v>0</v>
      </c>
    </row>
    <row r="340" spans="1:18" ht="15.75">
      <c r="A340" s="57" t="s">
        <v>1101</v>
      </c>
      <c r="B340" s="58" t="s">
        <v>390</v>
      </c>
      <c r="C340" s="136">
        <v>70057</v>
      </c>
      <c r="D340" s="53" t="e">
        <f>VLOOKUP(C340,#REF!,3,FALSE)</f>
        <v>#REF!</v>
      </c>
      <c r="E340" s="113">
        <f>+'ORÇ - CONSOLIDADO'!H362</f>
        <v>0</v>
      </c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148">
        <f t="shared" si="35"/>
        <v>0</v>
      </c>
    </row>
    <row r="341" spans="1:18" ht="15.75">
      <c r="A341" s="57" t="s">
        <v>1102</v>
      </c>
      <c r="B341" s="58" t="s">
        <v>390</v>
      </c>
      <c r="C341" s="136">
        <v>78630</v>
      </c>
      <c r="D341" s="53" t="e">
        <f>VLOOKUP(C341,#REF!,3,FALSE)</f>
        <v>#REF!</v>
      </c>
      <c r="E341" s="113">
        <f>+'ORÇ - CONSOLIDADO'!H363</f>
        <v>0</v>
      </c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148">
        <f t="shared" si="35"/>
        <v>0</v>
      </c>
    </row>
    <row r="342" spans="1:18" ht="15.75">
      <c r="A342" s="57" t="s">
        <v>1103</v>
      </c>
      <c r="B342" s="58" t="s">
        <v>253</v>
      </c>
      <c r="C342" s="136" t="s">
        <v>969</v>
      </c>
      <c r="D342" s="53" t="e">
        <f>VLOOKUP(C342,#REF!,3,FALSE)</f>
        <v>#REF!</v>
      </c>
      <c r="E342" s="113">
        <f>+'ORÇ - CONSOLIDADO'!H364</f>
        <v>0</v>
      </c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148">
        <f t="shared" si="35"/>
        <v>0</v>
      </c>
    </row>
    <row r="343" spans="1:18" ht="15.75">
      <c r="A343" s="57" t="s">
        <v>1104</v>
      </c>
      <c r="B343" s="58" t="s">
        <v>253</v>
      </c>
      <c r="C343" s="136" t="s">
        <v>971</v>
      </c>
      <c r="D343" s="53" t="e">
        <f>VLOOKUP(C343,#REF!,3,FALSE)</f>
        <v>#REF!</v>
      </c>
      <c r="E343" s="113">
        <f>+'ORÇ - CONSOLIDADO'!H365</f>
        <v>0</v>
      </c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148">
        <f t="shared" si="35"/>
        <v>0</v>
      </c>
    </row>
    <row r="344" spans="1:18" ht="15.75">
      <c r="A344" s="57" t="s">
        <v>1105</v>
      </c>
      <c r="B344" s="58" t="s">
        <v>253</v>
      </c>
      <c r="C344" s="136" t="s">
        <v>973</v>
      </c>
      <c r="D344" s="53" t="e">
        <f>VLOOKUP(C344,#REF!,3,FALSE)</f>
        <v>#REF!</v>
      </c>
      <c r="E344" s="113">
        <f>+'ORÇ - CONSOLIDADO'!H366</f>
        <v>0</v>
      </c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148">
        <f t="shared" si="35"/>
        <v>0</v>
      </c>
    </row>
    <row r="345" spans="1:18" ht="15.75">
      <c r="A345" s="57" t="s">
        <v>1106</v>
      </c>
      <c r="B345" s="58" t="s">
        <v>253</v>
      </c>
      <c r="C345" s="136" t="s">
        <v>975</v>
      </c>
      <c r="D345" s="53" t="e">
        <f>VLOOKUP(C345,#REF!,3,FALSE)</f>
        <v>#REF!</v>
      </c>
      <c r="E345" s="113">
        <f>+'ORÇ - CONSOLIDADO'!H367</f>
        <v>0</v>
      </c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148">
        <f t="shared" si="35"/>
        <v>0</v>
      </c>
    </row>
    <row r="346" spans="1:18" ht="15.75">
      <c r="A346" s="57" t="s">
        <v>1107</v>
      </c>
      <c r="B346" s="58" t="s">
        <v>253</v>
      </c>
      <c r="C346" s="136" t="s">
        <v>977</v>
      </c>
      <c r="D346" s="53" t="e">
        <f>VLOOKUP(C346,#REF!,3,FALSE)</f>
        <v>#REF!</v>
      </c>
      <c r="E346" s="113">
        <f>+'ORÇ - CONSOLIDADO'!H368</f>
        <v>0</v>
      </c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148">
        <f t="shared" si="35"/>
        <v>0</v>
      </c>
    </row>
    <row r="347" spans="1:18" ht="15.75">
      <c r="A347" s="57" t="s">
        <v>1108</v>
      </c>
      <c r="B347" s="58" t="s">
        <v>253</v>
      </c>
      <c r="C347" s="136" t="s">
        <v>979</v>
      </c>
      <c r="D347" s="53" t="e">
        <f>VLOOKUP(C347,#REF!,3,FALSE)</f>
        <v>#REF!</v>
      </c>
      <c r="E347" s="113">
        <f>+'ORÇ - CONSOLIDADO'!H369</f>
        <v>0</v>
      </c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148">
        <f t="shared" si="35"/>
        <v>0</v>
      </c>
    </row>
    <row r="348" spans="1:18" ht="15.75">
      <c r="A348" s="57" t="s">
        <v>1109</v>
      </c>
      <c r="B348" s="58" t="s">
        <v>253</v>
      </c>
      <c r="C348" s="136" t="s">
        <v>981</v>
      </c>
      <c r="D348" s="53" t="e">
        <f>VLOOKUP(C348,#REF!,3,FALSE)</f>
        <v>#REF!</v>
      </c>
      <c r="E348" s="113">
        <f>+'ORÇ - CONSOLIDADO'!H370</f>
        <v>0</v>
      </c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148">
        <f t="shared" si="35"/>
        <v>0</v>
      </c>
    </row>
    <row r="349" spans="1:18" ht="15.75">
      <c r="A349" s="57" t="s">
        <v>1110</v>
      </c>
      <c r="B349" s="58" t="s">
        <v>390</v>
      </c>
      <c r="C349" s="136">
        <v>64564</v>
      </c>
      <c r="D349" s="53" t="e">
        <f>VLOOKUP(C349,#REF!,3,FALSE)</f>
        <v>#REF!</v>
      </c>
      <c r="E349" s="113">
        <f>+'ORÇ - CONSOLIDADO'!H371</f>
        <v>0</v>
      </c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148">
        <f t="shared" si="35"/>
        <v>0</v>
      </c>
    </row>
    <row r="350" spans="1:18" ht="15.75">
      <c r="A350" s="57" t="s">
        <v>1111</v>
      </c>
      <c r="B350" s="58" t="s">
        <v>253</v>
      </c>
      <c r="C350" s="136" t="s">
        <v>984</v>
      </c>
      <c r="D350" s="53" t="e">
        <f>VLOOKUP(C350,#REF!,3,FALSE)</f>
        <v>#REF!</v>
      </c>
      <c r="E350" s="113">
        <f>+'ORÇ - CONSOLIDADO'!H372</f>
        <v>0</v>
      </c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148">
        <f t="shared" si="35"/>
        <v>0</v>
      </c>
    </row>
    <row r="351" spans="1:18" ht="15.75">
      <c r="A351" s="52"/>
      <c r="B351" s="58">
        <v>0</v>
      </c>
      <c r="C351" s="136">
        <v>0</v>
      </c>
      <c r="D351" s="58"/>
      <c r="E351" s="113">
        <f>+'ORÇ - CONSOLIDADO'!H373</f>
        <v>0</v>
      </c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148">
        <f t="shared" si="35"/>
        <v>0</v>
      </c>
    </row>
    <row r="352" spans="1:18" ht="15.75">
      <c r="A352" s="50" t="s">
        <v>580</v>
      </c>
      <c r="B352" s="116">
        <v>0</v>
      </c>
      <c r="C352" s="128"/>
      <c r="D352" s="125" t="s">
        <v>1044</v>
      </c>
      <c r="E352" s="118">
        <f>+'ORÇ - CONSOLIDADO'!H374</f>
        <v>0</v>
      </c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148">
        <f aca="true" t="shared" si="36" ref="R352:R373">SUM(F352:Q352)</f>
        <v>0</v>
      </c>
    </row>
    <row r="353" spans="1:18" ht="15.75">
      <c r="A353" s="50" t="s">
        <v>581</v>
      </c>
      <c r="B353" s="116"/>
      <c r="C353" s="128"/>
      <c r="D353" s="125" t="s">
        <v>1045</v>
      </c>
      <c r="E353" s="118">
        <f>+'ORÇ - CONSOLIDADO'!H375</f>
        <v>0</v>
      </c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148">
        <f t="shared" si="36"/>
        <v>0</v>
      </c>
    </row>
    <row r="354" spans="1:18" ht="15.75">
      <c r="A354" s="57" t="s">
        <v>1117</v>
      </c>
      <c r="B354" s="154"/>
      <c r="C354" s="136" t="s">
        <v>985</v>
      </c>
      <c r="D354" s="53" t="e">
        <f>VLOOKUP(C354,#REF!,3,FALSE)</f>
        <v>#REF!</v>
      </c>
      <c r="E354" s="113">
        <f>+'ORÇ - CONSOLIDADO'!H376</f>
        <v>0</v>
      </c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148">
        <f t="shared" si="36"/>
        <v>0</v>
      </c>
    </row>
    <row r="355" spans="1:18" ht="15.75">
      <c r="A355" s="57" t="s">
        <v>1118</v>
      </c>
      <c r="B355" s="154" t="s">
        <v>253</v>
      </c>
      <c r="C355" s="136" t="s">
        <v>989</v>
      </c>
      <c r="D355" s="53" t="e">
        <f>VLOOKUP(C355,#REF!,3,FALSE)</f>
        <v>#REF!</v>
      </c>
      <c r="E355" s="113">
        <f>+'ORÇ - CONSOLIDADO'!H377</f>
        <v>0</v>
      </c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148">
        <f t="shared" si="36"/>
        <v>0</v>
      </c>
    </row>
    <row r="356" spans="1:18" ht="15.75">
      <c r="A356" s="52"/>
      <c r="B356" s="154"/>
      <c r="C356" s="136"/>
      <c r="D356" s="53"/>
      <c r="E356" s="113">
        <f>+'ORÇ - CONSOLIDADO'!H378</f>
        <v>0</v>
      </c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148">
        <f t="shared" si="36"/>
        <v>0</v>
      </c>
    </row>
    <row r="357" spans="1:18" ht="15.75">
      <c r="A357" s="50" t="s">
        <v>582</v>
      </c>
      <c r="B357" s="116"/>
      <c r="C357" s="128"/>
      <c r="D357" s="125" t="s">
        <v>1047</v>
      </c>
      <c r="E357" s="118">
        <f>+'ORÇ - CONSOLIDADO'!H379</f>
        <v>0</v>
      </c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148">
        <f t="shared" si="36"/>
        <v>0</v>
      </c>
    </row>
    <row r="358" spans="1:18" ht="15.75">
      <c r="A358" s="57" t="s">
        <v>1119</v>
      </c>
      <c r="B358" s="154" t="s">
        <v>253</v>
      </c>
      <c r="C358" s="136" t="s">
        <v>985</v>
      </c>
      <c r="D358" s="53" t="e">
        <f>VLOOKUP(C358,#REF!,3,FALSE)</f>
        <v>#REF!</v>
      </c>
      <c r="E358" s="113">
        <f>+'ORÇ - CONSOLIDADO'!H380</f>
        <v>0</v>
      </c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148">
        <f t="shared" si="36"/>
        <v>0</v>
      </c>
    </row>
    <row r="359" spans="1:18" ht="15.75">
      <c r="A359" s="57" t="s">
        <v>1120</v>
      </c>
      <c r="B359" s="154" t="s">
        <v>253</v>
      </c>
      <c r="C359" s="136" t="s">
        <v>989</v>
      </c>
      <c r="D359" s="53" t="e">
        <f>VLOOKUP(C359,#REF!,3,FALSE)</f>
        <v>#REF!</v>
      </c>
      <c r="E359" s="113">
        <f>+'ORÇ - CONSOLIDADO'!H381</f>
        <v>0</v>
      </c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148">
        <f t="shared" si="36"/>
        <v>0</v>
      </c>
    </row>
    <row r="360" spans="1:18" ht="15.75">
      <c r="A360" s="57" t="s">
        <v>1121</v>
      </c>
      <c r="B360" s="154" t="s">
        <v>253</v>
      </c>
      <c r="C360" s="136" t="s">
        <v>991</v>
      </c>
      <c r="D360" s="53" t="e">
        <f>VLOOKUP(C360,#REF!,3,FALSE)</f>
        <v>#REF!</v>
      </c>
      <c r="E360" s="113">
        <f>+'ORÇ - CONSOLIDADO'!H382</f>
        <v>0</v>
      </c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148">
        <f t="shared" si="36"/>
        <v>0</v>
      </c>
    </row>
    <row r="361" spans="1:18" ht="15.75">
      <c r="A361" s="57" t="s">
        <v>1122</v>
      </c>
      <c r="B361" s="154" t="s">
        <v>253</v>
      </c>
      <c r="C361" s="136" t="s">
        <v>993</v>
      </c>
      <c r="D361" s="53" t="e">
        <f>VLOOKUP(C361,#REF!,3,FALSE)</f>
        <v>#REF!</v>
      </c>
      <c r="E361" s="113">
        <f>+'ORÇ - CONSOLIDADO'!H383</f>
        <v>0</v>
      </c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148">
        <f t="shared" si="36"/>
        <v>0</v>
      </c>
    </row>
    <row r="362" spans="1:18" ht="15.75">
      <c r="A362" s="57" t="s">
        <v>1123</v>
      </c>
      <c r="B362" s="154" t="s">
        <v>390</v>
      </c>
      <c r="C362" s="136">
        <v>64564</v>
      </c>
      <c r="D362" s="53" t="e">
        <f>VLOOKUP(C362,#REF!,3,FALSE)</f>
        <v>#REF!</v>
      </c>
      <c r="E362" s="113">
        <f>+'ORÇ - CONSOLIDADO'!H384</f>
        <v>0</v>
      </c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148">
        <f t="shared" si="36"/>
        <v>0</v>
      </c>
    </row>
    <row r="363" spans="1:18" ht="15.75">
      <c r="A363" s="52"/>
      <c r="B363" s="154"/>
      <c r="C363" s="136"/>
      <c r="D363" s="53"/>
      <c r="E363" s="113">
        <f>+'ORÇ - CONSOLIDADO'!H385</f>
        <v>0</v>
      </c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148">
        <f t="shared" si="36"/>
        <v>0</v>
      </c>
    </row>
    <row r="364" spans="1:18" ht="15.75">
      <c r="A364" s="50" t="s">
        <v>583</v>
      </c>
      <c r="B364" s="116"/>
      <c r="C364" s="128"/>
      <c r="D364" s="125" t="s">
        <v>1048</v>
      </c>
      <c r="E364" s="118">
        <f>+'ORÇ - CONSOLIDADO'!H386</f>
        <v>0</v>
      </c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148">
        <f t="shared" si="36"/>
        <v>0</v>
      </c>
    </row>
    <row r="365" spans="1:18" ht="15.75">
      <c r="A365" s="57" t="s">
        <v>1124</v>
      </c>
      <c r="B365" s="154" t="s">
        <v>253</v>
      </c>
      <c r="C365" s="136" t="s">
        <v>987</v>
      </c>
      <c r="D365" s="53" t="e">
        <f>VLOOKUP(C365,#REF!,3,FALSE)</f>
        <v>#REF!</v>
      </c>
      <c r="E365" s="113">
        <f>+'ORÇ - CONSOLIDADO'!H387</f>
        <v>0</v>
      </c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148">
        <f t="shared" si="36"/>
        <v>0</v>
      </c>
    </row>
    <row r="366" spans="1:18" ht="15.75">
      <c r="A366" s="57" t="s">
        <v>1125</v>
      </c>
      <c r="B366" s="154" t="s">
        <v>253</v>
      </c>
      <c r="C366" s="136" t="s">
        <v>991</v>
      </c>
      <c r="D366" s="53" t="e">
        <f>VLOOKUP(C366,#REF!,3,FALSE)</f>
        <v>#REF!</v>
      </c>
      <c r="E366" s="113">
        <f>+'ORÇ - CONSOLIDADO'!H388</f>
        <v>0</v>
      </c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148">
        <f t="shared" si="36"/>
        <v>0</v>
      </c>
    </row>
    <row r="367" spans="1:18" ht="15.75">
      <c r="A367" s="57" t="s">
        <v>1126</v>
      </c>
      <c r="B367" s="154" t="s">
        <v>253</v>
      </c>
      <c r="C367" s="136" t="s">
        <v>995</v>
      </c>
      <c r="D367" s="53" t="e">
        <f>VLOOKUP(C367,#REF!,3,FALSE)</f>
        <v>#REF!</v>
      </c>
      <c r="E367" s="113">
        <f>+'ORÇ - CONSOLIDADO'!H389</f>
        <v>0</v>
      </c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148">
        <f t="shared" si="36"/>
        <v>0</v>
      </c>
    </row>
    <row r="368" spans="1:18" ht="15.75">
      <c r="A368" s="57" t="s">
        <v>1127</v>
      </c>
      <c r="B368" s="154" t="s">
        <v>253</v>
      </c>
      <c r="C368" s="136" t="s">
        <v>997</v>
      </c>
      <c r="D368" s="53" t="e">
        <f>VLOOKUP(C368,#REF!,3,FALSE)</f>
        <v>#REF!</v>
      </c>
      <c r="E368" s="113">
        <f>+'ORÇ - CONSOLIDADO'!H390</f>
        <v>0</v>
      </c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148">
        <f t="shared" si="36"/>
        <v>0</v>
      </c>
    </row>
    <row r="369" spans="1:18" ht="15.75">
      <c r="A369" s="57" t="s">
        <v>1128</v>
      </c>
      <c r="B369" s="154" t="s">
        <v>253</v>
      </c>
      <c r="C369" s="136" t="s">
        <v>999</v>
      </c>
      <c r="D369" s="53" t="e">
        <f>VLOOKUP(C369,#REF!,3,FALSE)</f>
        <v>#REF!</v>
      </c>
      <c r="E369" s="113">
        <f>+'ORÇ - CONSOLIDADO'!H391</f>
        <v>0</v>
      </c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148">
        <f t="shared" si="36"/>
        <v>0</v>
      </c>
    </row>
    <row r="370" spans="1:18" ht="15.75">
      <c r="A370" s="57" t="s">
        <v>1129</v>
      </c>
      <c r="B370" s="154" t="s">
        <v>390</v>
      </c>
      <c r="C370" s="136">
        <v>61610</v>
      </c>
      <c r="D370" s="53" t="e">
        <f>VLOOKUP(C370,#REF!,3,FALSE)</f>
        <v>#REF!</v>
      </c>
      <c r="E370" s="113">
        <f>+'ORÇ - CONSOLIDADO'!H392</f>
        <v>0</v>
      </c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148">
        <f t="shared" si="36"/>
        <v>0</v>
      </c>
    </row>
    <row r="371" spans="1:18" ht="15.75">
      <c r="A371" s="57" t="s">
        <v>1130</v>
      </c>
      <c r="B371" s="154" t="s">
        <v>253</v>
      </c>
      <c r="C371" s="136" t="s">
        <v>1001</v>
      </c>
      <c r="D371" s="53" t="e">
        <f>VLOOKUP(C371,#REF!,3,FALSE)</f>
        <v>#REF!</v>
      </c>
      <c r="E371" s="113">
        <f>+'ORÇ - CONSOLIDADO'!H393</f>
        <v>0</v>
      </c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148">
        <f t="shared" si="36"/>
        <v>0</v>
      </c>
    </row>
    <row r="372" spans="1:18" ht="15.75">
      <c r="A372" s="57" t="s">
        <v>1131</v>
      </c>
      <c r="B372" s="154" t="s">
        <v>390</v>
      </c>
      <c r="C372" s="136">
        <v>64564</v>
      </c>
      <c r="D372" s="53" t="e">
        <f>VLOOKUP(C372,#REF!,3,FALSE)</f>
        <v>#REF!</v>
      </c>
      <c r="E372" s="113">
        <f>+'ORÇ - CONSOLIDADO'!H394</f>
        <v>0</v>
      </c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148">
        <f t="shared" si="36"/>
        <v>0</v>
      </c>
    </row>
    <row r="373" spans="1:18" ht="15.75">
      <c r="A373" s="57"/>
      <c r="B373" s="154"/>
      <c r="C373" s="136"/>
      <c r="D373" s="53"/>
      <c r="E373" s="113">
        <f>+'ORÇ - CONSOLIDADO'!H395</f>
        <v>0</v>
      </c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148">
        <f t="shared" si="36"/>
        <v>0</v>
      </c>
    </row>
    <row r="374" spans="1:18" ht="15.75">
      <c r="A374" s="52"/>
      <c r="B374" s="58">
        <v>0</v>
      </c>
      <c r="C374" s="136">
        <v>0</v>
      </c>
      <c r="D374" s="58"/>
      <c r="E374" s="11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148">
        <f aca="true" t="shared" si="37" ref="R374:R413">SUM(F374:Q374)</f>
        <v>0</v>
      </c>
    </row>
    <row r="375" spans="1:18" ht="15.75">
      <c r="A375" s="59" t="s">
        <v>40</v>
      </c>
      <c r="B375" s="60">
        <v>0</v>
      </c>
      <c r="C375" s="127">
        <v>0</v>
      </c>
      <c r="D375" s="60" t="s">
        <v>21</v>
      </c>
      <c r="E375" s="112">
        <f>+'ORÇ - CONSOLIDADO'!H396</f>
        <v>0</v>
      </c>
      <c r="F375" s="33"/>
      <c r="G375" s="33"/>
      <c r="H375" s="33"/>
      <c r="I375" s="33"/>
      <c r="J375" s="149" t="e">
        <f>+$E375/$E$375/7*100</f>
        <v>#DIV/0!</v>
      </c>
      <c r="K375" s="149" t="e">
        <f aca="true" t="shared" si="38" ref="K375:P375">+$E375/$E$375/7*100</f>
        <v>#DIV/0!</v>
      </c>
      <c r="L375" s="149" t="e">
        <f t="shared" si="38"/>
        <v>#DIV/0!</v>
      </c>
      <c r="M375" s="149" t="e">
        <f t="shared" si="38"/>
        <v>#DIV/0!</v>
      </c>
      <c r="N375" s="149" t="e">
        <f t="shared" si="38"/>
        <v>#DIV/0!</v>
      </c>
      <c r="O375" s="149" t="e">
        <f t="shared" si="38"/>
        <v>#DIV/0!</v>
      </c>
      <c r="P375" s="149" t="e">
        <f t="shared" si="38"/>
        <v>#DIV/0!</v>
      </c>
      <c r="Q375" s="149"/>
      <c r="R375" s="148" t="e">
        <f t="shared" si="37"/>
        <v>#DIV/0!</v>
      </c>
    </row>
    <row r="376" spans="1:18" ht="15.75">
      <c r="A376" s="50" t="s">
        <v>567</v>
      </c>
      <c r="B376" s="116">
        <v>0</v>
      </c>
      <c r="C376" s="128"/>
      <c r="D376" s="151" t="s">
        <v>712</v>
      </c>
      <c r="E376" s="118">
        <f>+'ORÇ - CONSOLIDADO'!H397</f>
        <v>0</v>
      </c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148">
        <f t="shared" si="37"/>
        <v>0</v>
      </c>
    </row>
    <row r="377" spans="1:18" ht="15.75">
      <c r="A377" s="57" t="s">
        <v>568</v>
      </c>
      <c r="B377" s="51" t="s">
        <v>253</v>
      </c>
      <c r="C377" s="130" t="s">
        <v>247</v>
      </c>
      <c r="D377" s="53" t="e">
        <f>VLOOKUP(C377,#REF!,3,FALSE)</f>
        <v>#REF!</v>
      </c>
      <c r="E377" s="113">
        <f>+'ORÇ - CONSOLIDADO'!H398</f>
        <v>0</v>
      </c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148">
        <f t="shared" si="37"/>
        <v>0</v>
      </c>
    </row>
    <row r="378" spans="1:18" ht="15.75">
      <c r="A378" s="57" t="s">
        <v>569</v>
      </c>
      <c r="B378" s="51" t="s">
        <v>253</v>
      </c>
      <c r="C378" s="130" t="s">
        <v>249</v>
      </c>
      <c r="D378" s="53" t="e">
        <f>VLOOKUP(C378,#REF!,3,FALSE)</f>
        <v>#REF!</v>
      </c>
      <c r="E378" s="113">
        <f>+'ORÇ - CONSOLIDADO'!H399</f>
        <v>0</v>
      </c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148">
        <f t="shared" si="37"/>
        <v>0</v>
      </c>
    </row>
    <row r="379" spans="1:18" ht="15.75">
      <c r="A379" s="52"/>
      <c r="B379" s="58"/>
      <c r="C379" s="133"/>
      <c r="D379" s="58"/>
      <c r="E379" s="113">
        <f>+'ORÇ - CONSOLIDADO'!H400</f>
        <v>0</v>
      </c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148">
        <f t="shared" si="37"/>
        <v>0</v>
      </c>
    </row>
    <row r="380" spans="1:18" ht="15.75">
      <c r="A380" s="50" t="s">
        <v>584</v>
      </c>
      <c r="B380" s="116">
        <v>0</v>
      </c>
      <c r="C380" s="128"/>
      <c r="D380" s="151" t="s">
        <v>694</v>
      </c>
      <c r="E380" s="118">
        <f>+'ORÇ - CONSOLIDADO'!H401</f>
        <v>0</v>
      </c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148">
        <f t="shared" si="37"/>
        <v>0</v>
      </c>
    </row>
    <row r="381" spans="1:18" ht="15.75">
      <c r="A381" s="57" t="s">
        <v>585</v>
      </c>
      <c r="B381" s="51" t="s">
        <v>253</v>
      </c>
      <c r="C381" s="130" t="s">
        <v>241</v>
      </c>
      <c r="D381" s="53" t="e">
        <f>VLOOKUP(C381,#REF!,3,FALSE)</f>
        <v>#REF!</v>
      </c>
      <c r="E381" s="113">
        <f>+'ORÇ - CONSOLIDADO'!H402</f>
        <v>0</v>
      </c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148">
        <f t="shared" si="37"/>
        <v>0</v>
      </c>
    </row>
    <row r="382" spans="1:18" ht="15.75">
      <c r="A382" s="57" t="s">
        <v>586</v>
      </c>
      <c r="B382" s="51" t="s">
        <v>253</v>
      </c>
      <c r="C382" s="130" t="s">
        <v>243</v>
      </c>
      <c r="D382" s="53" t="e">
        <f>VLOOKUP(C382,#REF!,3,FALSE)</f>
        <v>#REF!</v>
      </c>
      <c r="E382" s="113">
        <f>+'ORÇ - CONSOLIDADO'!H403</f>
        <v>0</v>
      </c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148">
        <f t="shared" si="37"/>
        <v>0</v>
      </c>
    </row>
    <row r="383" spans="1:18" ht="15.75">
      <c r="A383" s="57" t="s">
        <v>587</v>
      </c>
      <c r="B383" s="51" t="s">
        <v>253</v>
      </c>
      <c r="C383" s="130" t="s">
        <v>665</v>
      </c>
      <c r="D383" s="53" t="e">
        <f>VLOOKUP(C383,#REF!,3,FALSE)</f>
        <v>#REF!</v>
      </c>
      <c r="E383" s="113">
        <f>+'ORÇ - CONSOLIDADO'!H404</f>
        <v>0</v>
      </c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148">
        <f t="shared" si="37"/>
        <v>0</v>
      </c>
    </row>
    <row r="384" spans="1:18" ht="15.75">
      <c r="A384" s="57" t="s">
        <v>588</v>
      </c>
      <c r="B384" s="51" t="s">
        <v>253</v>
      </c>
      <c r="C384" s="130" t="s">
        <v>245</v>
      </c>
      <c r="D384" s="53" t="e">
        <f>VLOOKUP(C384,#REF!,3,FALSE)</f>
        <v>#REF!</v>
      </c>
      <c r="E384" s="113">
        <f>+'ORÇ - CONSOLIDADO'!H405</f>
        <v>0</v>
      </c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148">
        <f t="shared" si="37"/>
        <v>0</v>
      </c>
    </row>
    <row r="385" spans="1:18" ht="15.75">
      <c r="A385" s="57" t="s">
        <v>589</v>
      </c>
      <c r="B385" s="51" t="s">
        <v>253</v>
      </c>
      <c r="C385" s="133" t="s">
        <v>666</v>
      </c>
      <c r="D385" s="53" t="e">
        <f>VLOOKUP(C385,#REF!,3,FALSE)</f>
        <v>#REF!</v>
      </c>
      <c r="E385" s="113">
        <f>+'ORÇ - CONSOLIDADO'!H406</f>
        <v>0</v>
      </c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148">
        <f t="shared" si="37"/>
        <v>0</v>
      </c>
    </row>
    <row r="386" spans="1:18" ht="15.75">
      <c r="A386" s="57" t="s">
        <v>590</v>
      </c>
      <c r="B386" s="51" t="s">
        <v>253</v>
      </c>
      <c r="C386" s="133" t="s">
        <v>109</v>
      </c>
      <c r="D386" s="53" t="e">
        <f>VLOOKUP(C386,#REF!,3,FALSE)</f>
        <v>#REF!</v>
      </c>
      <c r="E386" s="113">
        <f>+'ORÇ - CONSOLIDADO'!H407</f>
        <v>0</v>
      </c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148">
        <f t="shared" si="37"/>
        <v>0</v>
      </c>
    </row>
    <row r="387" spans="1:18" ht="15.75">
      <c r="A387" s="57" t="s">
        <v>591</v>
      </c>
      <c r="B387" s="51" t="s">
        <v>253</v>
      </c>
      <c r="C387" s="133" t="s">
        <v>667</v>
      </c>
      <c r="D387" s="53" t="e">
        <f>VLOOKUP(C387,#REF!,3,FALSE)</f>
        <v>#REF!</v>
      </c>
      <c r="E387" s="113">
        <f>+'ORÇ - CONSOLIDADO'!H408</f>
        <v>0</v>
      </c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148">
        <f t="shared" si="37"/>
        <v>0</v>
      </c>
    </row>
    <row r="388" spans="1:18" ht="15.75">
      <c r="A388" s="57" t="s">
        <v>592</v>
      </c>
      <c r="B388" s="51" t="s">
        <v>253</v>
      </c>
      <c r="C388" s="133" t="s">
        <v>668</v>
      </c>
      <c r="D388" s="53" t="e">
        <f>VLOOKUP(C388,#REF!,3,FALSE)</f>
        <v>#REF!</v>
      </c>
      <c r="E388" s="113">
        <f>+'ORÇ - CONSOLIDADO'!H409</f>
        <v>0</v>
      </c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148">
        <f t="shared" si="37"/>
        <v>0</v>
      </c>
    </row>
    <row r="389" spans="1:18" ht="15.75">
      <c r="A389" s="57" t="s">
        <v>593</v>
      </c>
      <c r="B389" s="160" t="s">
        <v>797</v>
      </c>
      <c r="C389" s="159" t="e">
        <f>+#REF!</f>
        <v>#REF!</v>
      </c>
      <c r="D389" s="200" t="e">
        <f>+#REF!</f>
        <v>#REF!</v>
      </c>
      <c r="E389" s="113">
        <f>+'ORÇ - CONSOLIDADO'!H410</f>
        <v>0</v>
      </c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148">
        <f t="shared" si="37"/>
        <v>0</v>
      </c>
    </row>
    <row r="390" spans="1:18" ht="15.75">
      <c r="A390" s="52"/>
      <c r="B390" s="58">
        <v>0</v>
      </c>
      <c r="C390" s="133">
        <v>0</v>
      </c>
      <c r="D390" s="58"/>
      <c r="E390" s="113">
        <f>+'ORÇ - CONSOLIDADO'!H411</f>
        <v>0</v>
      </c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148">
        <f t="shared" si="37"/>
        <v>0</v>
      </c>
    </row>
    <row r="391" spans="1:18" ht="15.75">
      <c r="A391" s="50" t="s">
        <v>594</v>
      </c>
      <c r="B391" s="116">
        <v>0</v>
      </c>
      <c r="C391" s="128"/>
      <c r="D391" s="151" t="s">
        <v>693</v>
      </c>
      <c r="E391" s="118">
        <f>+'ORÇ - CONSOLIDADO'!H412</f>
        <v>0</v>
      </c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148">
        <f t="shared" si="37"/>
        <v>0</v>
      </c>
    </row>
    <row r="392" spans="1:18" ht="31.5">
      <c r="A392" s="57" t="s">
        <v>595</v>
      </c>
      <c r="B392" s="160" t="s">
        <v>1137</v>
      </c>
      <c r="C392" s="161" t="s">
        <v>695</v>
      </c>
      <c r="D392" s="200" t="s">
        <v>1132</v>
      </c>
      <c r="E392" s="113">
        <f>+'ORÇ - CONSOLIDADO'!H413</f>
        <v>0</v>
      </c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148">
        <f t="shared" si="37"/>
        <v>0</v>
      </c>
    </row>
    <row r="393" spans="1:18" ht="15.75">
      <c r="A393" s="57" t="s">
        <v>596</v>
      </c>
      <c r="B393" s="51" t="s">
        <v>253</v>
      </c>
      <c r="C393" s="130" t="s">
        <v>663</v>
      </c>
      <c r="D393" s="53" t="e">
        <f>VLOOKUP(C393,#REF!,3,FALSE)</f>
        <v>#REF!</v>
      </c>
      <c r="E393" s="113">
        <f>+'ORÇ - CONSOLIDADO'!H414</f>
        <v>0</v>
      </c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148">
        <f t="shared" si="37"/>
        <v>0</v>
      </c>
    </row>
    <row r="394" spans="1:18" ht="15.75">
      <c r="A394" s="57" t="s">
        <v>597</v>
      </c>
      <c r="B394" s="51" t="s">
        <v>253</v>
      </c>
      <c r="C394" s="130" t="s">
        <v>1003</v>
      </c>
      <c r="D394" s="53" t="e">
        <f>VLOOKUP(C394,#REF!,3,FALSE)</f>
        <v>#REF!</v>
      </c>
      <c r="E394" s="113">
        <f>+'ORÇ - CONSOLIDADO'!H415</f>
        <v>0</v>
      </c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148">
        <f t="shared" si="37"/>
        <v>0</v>
      </c>
    </row>
    <row r="395" spans="1:18" ht="15.75">
      <c r="A395" s="57" t="s">
        <v>848</v>
      </c>
      <c r="B395" s="51" t="s">
        <v>253</v>
      </c>
      <c r="C395" s="130" t="s">
        <v>1005</v>
      </c>
      <c r="D395" s="53" t="e">
        <f>VLOOKUP(C395,#REF!,3,FALSE)</f>
        <v>#REF!</v>
      </c>
      <c r="E395" s="113">
        <f>+'ORÇ - CONSOLIDADO'!H416</f>
        <v>0</v>
      </c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148">
        <f t="shared" si="37"/>
        <v>0</v>
      </c>
    </row>
    <row r="396" spans="1:18" ht="15.75">
      <c r="A396" s="57" t="s">
        <v>849</v>
      </c>
      <c r="B396" s="51" t="s">
        <v>253</v>
      </c>
      <c r="C396" s="130" t="s">
        <v>1007</v>
      </c>
      <c r="D396" s="53" t="e">
        <f>VLOOKUP(C396,#REF!,3,FALSE)</f>
        <v>#REF!</v>
      </c>
      <c r="E396" s="113">
        <f>+'ORÇ - CONSOLIDADO'!H417</f>
        <v>0</v>
      </c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148">
        <f t="shared" si="37"/>
        <v>0</v>
      </c>
    </row>
    <row r="397" spans="1:18" ht="15.75">
      <c r="A397" s="57" t="s">
        <v>850</v>
      </c>
      <c r="B397" s="51" t="s">
        <v>253</v>
      </c>
      <c r="C397" s="130" t="s">
        <v>664</v>
      </c>
      <c r="D397" s="53" t="e">
        <f>VLOOKUP(C397,#REF!,3,FALSE)</f>
        <v>#REF!</v>
      </c>
      <c r="E397" s="113">
        <f>+'ORÇ - CONSOLIDADO'!H418</f>
        <v>0</v>
      </c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148">
        <f t="shared" si="37"/>
        <v>0</v>
      </c>
    </row>
    <row r="398" spans="1:18" ht="15.75">
      <c r="A398" s="57" t="s">
        <v>1113</v>
      </c>
      <c r="B398" s="51" t="s">
        <v>253</v>
      </c>
      <c r="C398" s="130" t="s">
        <v>1009</v>
      </c>
      <c r="D398" s="53" t="e">
        <f>VLOOKUP(C398,#REF!,3,FALSE)</f>
        <v>#REF!</v>
      </c>
      <c r="E398" s="113">
        <f>+'ORÇ - CONSOLIDADO'!H419</f>
        <v>0</v>
      </c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148">
        <f t="shared" si="37"/>
        <v>0</v>
      </c>
    </row>
    <row r="399" spans="1:18" ht="15.75">
      <c r="A399" s="57" t="s">
        <v>1114</v>
      </c>
      <c r="B399" s="180" t="s">
        <v>797</v>
      </c>
      <c r="C399" s="159" t="e">
        <f>+#REF!</f>
        <v>#REF!</v>
      </c>
      <c r="D399" s="200" t="e">
        <f>+#REF!</f>
        <v>#REF!</v>
      </c>
      <c r="E399" s="113">
        <f>+'ORÇ - CONSOLIDADO'!H420</f>
        <v>0</v>
      </c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148">
        <f t="shared" si="37"/>
        <v>0</v>
      </c>
    </row>
    <row r="400" spans="1:18" ht="15.75">
      <c r="A400" s="52"/>
      <c r="B400" s="58">
        <v>0</v>
      </c>
      <c r="C400" s="133">
        <v>0</v>
      </c>
      <c r="D400" s="58"/>
      <c r="E400" s="113">
        <f>+'ORÇ - CONSOLIDADO'!H423</f>
        <v>0</v>
      </c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148">
        <f t="shared" si="37"/>
        <v>0</v>
      </c>
    </row>
    <row r="401" spans="1:18" ht="15.75">
      <c r="A401" s="50" t="s">
        <v>715</v>
      </c>
      <c r="B401" s="116">
        <v>0</v>
      </c>
      <c r="C401" s="128"/>
      <c r="D401" s="151" t="s">
        <v>713</v>
      </c>
      <c r="E401" s="118">
        <f>+'ORÇ - CONSOLIDADO'!H424</f>
        <v>0</v>
      </c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148">
        <f t="shared" si="37"/>
        <v>0</v>
      </c>
    </row>
    <row r="402" spans="1:18" ht="15.75">
      <c r="A402" s="52" t="s">
        <v>716</v>
      </c>
      <c r="B402" s="55" t="s">
        <v>253</v>
      </c>
      <c r="C402" s="129" t="s">
        <v>66</v>
      </c>
      <c r="D402" s="53" t="e">
        <f>VLOOKUP(C402,#REF!,3,FALSE)</f>
        <v>#REF!</v>
      </c>
      <c r="E402" s="111">
        <f>+'ORÇ - CONSOLIDADO'!H425</f>
        <v>0</v>
      </c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148">
        <f t="shared" si="37"/>
        <v>0</v>
      </c>
    </row>
    <row r="403" spans="1:18" ht="15.75">
      <c r="A403" s="52" t="s">
        <v>717</v>
      </c>
      <c r="B403" s="55" t="s">
        <v>253</v>
      </c>
      <c r="C403" s="129" t="s">
        <v>68</v>
      </c>
      <c r="D403" s="53" t="e">
        <f>VLOOKUP(C403,#REF!,3,FALSE)</f>
        <v>#REF!</v>
      </c>
      <c r="E403" s="111">
        <f>+'ORÇ - CONSOLIDADO'!H426</f>
        <v>0</v>
      </c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148">
        <f t="shared" si="37"/>
        <v>0</v>
      </c>
    </row>
    <row r="404" spans="1:18" ht="15.75">
      <c r="A404" s="52" t="s">
        <v>851</v>
      </c>
      <c r="B404" s="55" t="s">
        <v>253</v>
      </c>
      <c r="C404" s="129" t="s">
        <v>67</v>
      </c>
      <c r="D404" s="53" t="e">
        <f>VLOOKUP(C404,#REF!,3,FALSE)</f>
        <v>#REF!</v>
      </c>
      <c r="E404" s="111">
        <f>+'ORÇ - CONSOLIDADO'!H427</f>
        <v>0</v>
      </c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148">
        <f t="shared" si="37"/>
        <v>0</v>
      </c>
    </row>
    <row r="405" spans="1:18" ht="15.75">
      <c r="A405" s="52" t="s">
        <v>852</v>
      </c>
      <c r="B405" s="55" t="s">
        <v>253</v>
      </c>
      <c r="C405" s="129" t="s">
        <v>87</v>
      </c>
      <c r="D405" s="53" t="e">
        <f>VLOOKUP(C405,#REF!,3,FALSE)</f>
        <v>#REF!</v>
      </c>
      <c r="E405" s="111">
        <f>+'ORÇ - CONSOLIDADO'!H428</f>
        <v>0</v>
      </c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148">
        <f t="shared" si="37"/>
        <v>0</v>
      </c>
    </row>
    <row r="406" spans="1:18" ht="15.75">
      <c r="A406" s="52" t="s">
        <v>853</v>
      </c>
      <c r="B406" s="55" t="s">
        <v>26</v>
      </c>
      <c r="C406" s="129">
        <v>101616</v>
      </c>
      <c r="D406" s="53" t="e">
        <f>VLOOKUP(C406,#REF!,3,FALSE)</f>
        <v>#REF!</v>
      </c>
      <c r="E406" s="111">
        <f>+'ORÇ - CONSOLIDADO'!H429</f>
        <v>0</v>
      </c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148">
        <f t="shared" si="37"/>
        <v>0</v>
      </c>
    </row>
    <row r="407" spans="1:18" ht="15.75">
      <c r="A407" s="52"/>
      <c r="B407" s="58">
        <v>0</v>
      </c>
      <c r="C407" s="133">
        <v>0</v>
      </c>
      <c r="D407" s="58">
        <v>0</v>
      </c>
      <c r="E407" s="113">
        <f>+'ORÇ - CONSOLIDADO'!H430</f>
        <v>0</v>
      </c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148">
        <f t="shared" si="37"/>
        <v>0</v>
      </c>
    </row>
    <row r="408" spans="1:18" ht="15.75">
      <c r="A408" s="50" t="s">
        <v>854</v>
      </c>
      <c r="B408" s="116">
        <v>0</v>
      </c>
      <c r="C408" s="128"/>
      <c r="D408" s="151" t="s">
        <v>320</v>
      </c>
      <c r="E408" s="118">
        <f>+'ORÇ - CONSOLIDADO'!H431</f>
        <v>0</v>
      </c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148">
        <f t="shared" si="37"/>
        <v>0</v>
      </c>
    </row>
    <row r="409" spans="1:18" ht="15.75">
      <c r="A409" s="52" t="s">
        <v>820</v>
      </c>
      <c r="B409" s="55" t="s">
        <v>253</v>
      </c>
      <c r="C409" s="129" t="s">
        <v>66</v>
      </c>
      <c r="D409" s="53" t="e">
        <f>VLOOKUP(C409,#REF!,3,FALSE)</f>
        <v>#REF!</v>
      </c>
      <c r="E409" s="111">
        <f>+'ORÇ - CONSOLIDADO'!H432</f>
        <v>0</v>
      </c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148">
        <f t="shared" si="37"/>
        <v>0</v>
      </c>
    </row>
    <row r="410" spans="1:18" ht="15.75">
      <c r="A410" s="52" t="s">
        <v>821</v>
      </c>
      <c r="B410" s="55" t="s">
        <v>253</v>
      </c>
      <c r="C410" s="129" t="s">
        <v>68</v>
      </c>
      <c r="D410" s="53" t="e">
        <f>VLOOKUP(C410,#REF!,3,FALSE)</f>
        <v>#REF!</v>
      </c>
      <c r="E410" s="111">
        <f>+'ORÇ - CONSOLIDADO'!H433</f>
        <v>0</v>
      </c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148">
        <f t="shared" si="37"/>
        <v>0</v>
      </c>
    </row>
    <row r="411" spans="1:18" ht="15.75">
      <c r="A411" s="52" t="s">
        <v>855</v>
      </c>
      <c r="B411" s="55" t="s">
        <v>253</v>
      </c>
      <c r="C411" s="129" t="s">
        <v>67</v>
      </c>
      <c r="D411" s="53" t="e">
        <f>VLOOKUP(C411,#REF!,3,FALSE)</f>
        <v>#REF!</v>
      </c>
      <c r="E411" s="111">
        <f>+'ORÇ - CONSOLIDADO'!H434</f>
        <v>0</v>
      </c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148">
        <f t="shared" si="37"/>
        <v>0</v>
      </c>
    </row>
    <row r="412" spans="1:18" ht="15.75">
      <c r="A412" s="52" t="s">
        <v>856</v>
      </c>
      <c r="B412" s="55" t="s">
        <v>253</v>
      </c>
      <c r="C412" s="129" t="s">
        <v>87</v>
      </c>
      <c r="D412" s="53" t="e">
        <f>VLOOKUP(C412,#REF!,3,FALSE)</f>
        <v>#REF!</v>
      </c>
      <c r="E412" s="111">
        <f>+'ORÇ - CONSOLIDADO'!H435</f>
        <v>0</v>
      </c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148">
        <f t="shared" si="37"/>
        <v>0</v>
      </c>
    </row>
    <row r="413" spans="1:18" ht="15.75">
      <c r="A413" s="52" t="s">
        <v>857</v>
      </c>
      <c r="B413" s="55" t="s">
        <v>26</v>
      </c>
      <c r="C413" s="129">
        <v>101616</v>
      </c>
      <c r="D413" s="53" t="e">
        <f>VLOOKUP(C413,#REF!,3,FALSE)</f>
        <v>#REF!</v>
      </c>
      <c r="E413" s="111">
        <f>+'ORÇ - CONSOLIDADO'!H436</f>
        <v>0</v>
      </c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148">
        <f t="shared" si="37"/>
        <v>0</v>
      </c>
    </row>
    <row r="414" spans="1:18" ht="15.75">
      <c r="A414" s="52" t="s">
        <v>858</v>
      </c>
      <c r="B414" s="55" t="s">
        <v>253</v>
      </c>
      <c r="C414" s="129" t="s">
        <v>207</v>
      </c>
      <c r="D414" s="53" t="e">
        <f>VLOOKUP(C414,#REF!,3,FALSE)</f>
        <v>#REF!</v>
      </c>
      <c r="E414" s="111">
        <f>+'ORÇ - CONSOLIDADO'!H437</f>
        <v>0</v>
      </c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148">
        <f aca="true" t="shared" si="39" ref="R414:R475">SUM(F414:Q414)</f>
        <v>0</v>
      </c>
    </row>
    <row r="415" spans="1:18" ht="15.75">
      <c r="A415" s="52" t="s">
        <v>859</v>
      </c>
      <c r="B415" s="53" t="s">
        <v>253</v>
      </c>
      <c r="C415" s="129" t="s">
        <v>90</v>
      </c>
      <c r="D415" s="53" t="e">
        <f>VLOOKUP(C415,#REF!,3,FALSE)</f>
        <v>#REF!</v>
      </c>
      <c r="E415" s="111">
        <f>+'ORÇ - CONSOLIDADO'!H438</f>
        <v>0</v>
      </c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148">
        <f t="shared" si="39"/>
        <v>0</v>
      </c>
    </row>
    <row r="416" spans="1:18" ht="15.75">
      <c r="A416" s="52" t="s">
        <v>860</v>
      </c>
      <c r="B416" s="55" t="s">
        <v>253</v>
      </c>
      <c r="C416" s="129" t="s">
        <v>71</v>
      </c>
      <c r="D416" s="53" t="e">
        <f>VLOOKUP(C416,#REF!,3,FALSE)</f>
        <v>#REF!</v>
      </c>
      <c r="E416" s="111">
        <f>+'ORÇ - CONSOLIDADO'!H439</f>
        <v>0</v>
      </c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148">
        <f t="shared" si="39"/>
        <v>0</v>
      </c>
    </row>
    <row r="417" spans="1:18" ht="15.75">
      <c r="A417" s="52" t="s">
        <v>861</v>
      </c>
      <c r="B417" s="58" t="s">
        <v>253</v>
      </c>
      <c r="C417" s="133" t="s">
        <v>105</v>
      </c>
      <c r="D417" s="53" t="e">
        <f>VLOOKUP(C417,#REF!,3,FALSE)</f>
        <v>#REF!</v>
      </c>
      <c r="E417" s="113">
        <f>+'ORÇ - CONSOLIDADO'!H440</f>
        <v>0</v>
      </c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148">
        <f t="shared" si="39"/>
        <v>0</v>
      </c>
    </row>
    <row r="418" spans="1:18" ht="15.75">
      <c r="A418" s="52" t="s">
        <v>820</v>
      </c>
      <c r="B418" s="55" t="s">
        <v>253</v>
      </c>
      <c r="C418" s="129" t="s">
        <v>70</v>
      </c>
      <c r="D418" s="53" t="e">
        <f>VLOOKUP(C418,#REF!,3,FALSE)</f>
        <v>#REF!</v>
      </c>
      <c r="E418" s="111">
        <f>+'ORÇ - CONSOLIDADO'!H441</f>
        <v>0</v>
      </c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148">
        <f t="shared" si="39"/>
        <v>0</v>
      </c>
    </row>
    <row r="419" spans="1:18" ht="15.75">
      <c r="A419" s="52" t="s">
        <v>862</v>
      </c>
      <c r="B419" s="55" t="s">
        <v>253</v>
      </c>
      <c r="C419" s="129" t="s">
        <v>195</v>
      </c>
      <c r="D419" s="53" t="e">
        <f>VLOOKUP(C419,#REF!,3,FALSE)</f>
        <v>#REF!</v>
      </c>
      <c r="E419" s="111">
        <f>+'ORÇ - CONSOLIDADO'!H442</f>
        <v>0</v>
      </c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148">
        <f t="shared" si="39"/>
        <v>0</v>
      </c>
    </row>
    <row r="420" spans="1:18" ht="15.75">
      <c r="A420" s="52" t="s">
        <v>863</v>
      </c>
      <c r="B420" s="55" t="s">
        <v>253</v>
      </c>
      <c r="C420" s="129" t="s">
        <v>211</v>
      </c>
      <c r="D420" s="53" t="e">
        <f>VLOOKUP(C420,#REF!,3,FALSE)</f>
        <v>#REF!</v>
      </c>
      <c r="E420" s="111">
        <f>+'ORÇ - CONSOLIDADO'!H443</f>
        <v>0</v>
      </c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148">
        <f t="shared" si="39"/>
        <v>0</v>
      </c>
    </row>
    <row r="421" spans="1:18" ht="15.75">
      <c r="A421" s="52" t="s">
        <v>864</v>
      </c>
      <c r="B421" s="58" t="s">
        <v>253</v>
      </c>
      <c r="C421" s="133" t="s">
        <v>212</v>
      </c>
      <c r="D421" s="53" t="e">
        <f>VLOOKUP(C421,#REF!,3,FALSE)</f>
        <v>#REF!</v>
      </c>
      <c r="E421" s="113">
        <f>+'ORÇ - CONSOLIDADO'!H444</f>
        <v>0</v>
      </c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148">
        <f t="shared" si="39"/>
        <v>0</v>
      </c>
    </row>
    <row r="422" spans="1:18" ht="15.75">
      <c r="A422" s="52"/>
      <c r="B422" s="55">
        <v>0</v>
      </c>
      <c r="C422" s="129">
        <v>0</v>
      </c>
      <c r="D422" s="55"/>
      <c r="E422" s="111">
        <f>+'ORÇ - CONSOLIDADO'!H445</f>
        <v>0</v>
      </c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148">
        <f t="shared" si="39"/>
        <v>0</v>
      </c>
    </row>
    <row r="423" spans="1:18" ht="31.5">
      <c r="A423" s="50" t="s">
        <v>865</v>
      </c>
      <c r="B423" s="116">
        <v>0</v>
      </c>
      <c r="C423" s="128"/>
      <c r="D423" s="151" t="s">
        <v>776</v>
      </c>
      <c r="E423" s="118">
        <f>+'ORÇ - CONSOLIDADO'!H446</f>
        <v>0</v>
      </c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148">
        <f t="shared" si="39"/>
        <v>0</v>
      </c>
    </row>
    <row r="424" spans="1:18" ht="15.75">
      <c r="A424" s="52" t="s">
        <v>866</v>
      </c>
      <c r="B424" s="55" t="s">
        <v>253</v>
      </c>
      <c r="C424" s="129" t="s">
        <v>725</v>
      </c>
      <c r="D424" s="53" t="e">
        <f>VLOOKUP(C424,#REF!,3,FALSE)</f>
        <v>#REF!</v>
      </c>
      <c r="E424" s="113">
        <f>+'ORÇ - CONSOLIDADO'!H447</f>
        <v>0</v>
      </c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148">
        <f t="shared" si="39"/>
        <v>0</v>
      </c>
    </row>
    <row r="425" spans="1:18" ht="15.75">
      <c r="A425" s="52" t="s">
        <v>867</v>
      </c>
      <c r="B425" s="146" t="s">
        <v>26</v>
      </c>
      <c r="C425" s="129">
        <v>101616</v>
      </c>
      <c r="D425" s="53" t="e">
        <f>VLOOKUP(C425,#REF!,3,FALSE)</f>
        <v>#REF!</v>
      </c>
      <c r="E425" s="113">
        <f>+'ORÇ - CONSOLIDADO'!H448</f>
        <v>0</v>
      </c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148">
        <f t="shared" si="39"/>
        <v>0</v>
      </c>
    </row>
    <row r="426" spans="1:18" ht="15.75">
      <c r="A426" s="52" t="s">
        <v>868</v>
      </c>
      <c r="B426" s="55" t="s">
        <v>253</v>
      </c>
      <c r="C426" s="129" t="s">
        <v>68</v>
      </c>
      <c r="D426" s="53" t="e">
        <f>VLOOKUP(C426,#REF!,3,FALSE)</f>
        <v>#REF!</v>
      </c>
      <c r="E426" s="113">
        <f>+'ORÇ - CONSOLIDADO'!H449</f>
        <v>0</v>
      </c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148">
        <f t="shared" si="39"/>
        <v>0</v>
      </c>
    </row>
    <row r="427" spans="1:18" ht="15.75">
      <c r="A427" s="52" t="s">
        <v>869</v>
      </c>
      <c r="B427" s="55" t="s">
        <v>253</v>
      </c>
      <c r="C427" s="129" t="s">
        <v>727</v>
      </c>
      <c r="D427" s="53" t="e">
        <f>VLOOKUP(C427,#REF!,3,FALSE)</f>
        <v>#REF!</v>
      </c>
      <c r="E427" s="113">
        <f>+'ORÇ - CONSOLIDADO'!H450</f>
        <v>0</v>
      </c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148">
        <f t="shared" si="39"/>
        <v>0</v>
      </c>
    </row>
    <row r="428" spans="1:18" ht="15.75">
      <c r="A428" s="52" t="s">
        <v>870</v>
      </c>
      <c r="B428" s="55" t="s">
        <v>253</v>
      </c>
      <c r="C428" s="129" t="s">
        <v>728</v>
      </c>
      <c r="D428" s="53" t="e">
        <f>VLOOKUP(C428,#REF!,3,FALSE)</f>
        <v>#REF!</v>
      </c>
      <c r="E428" s="113">
        <f>+'ORÇ - CONSOLIDADO'!H451</f>
        <v>0</v>
      </c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148">
        <f t="shared" si="39"/>
        <v>0</v>
      </c>
    </row>
    <row r="429" spans="1:18" ht="15.75">
      <c r="A429" s="52"/>
      <c r="B429" s="55">
        <v>0</v>
      </c>
      <c r="C429" s="129">
        <v>0</v>
      </c>
      <c r="D429" s="55"/>
      <c r="E429" s="111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148">
        <f t="shared" si="39"/>
        <v>0</v>
      </c>
    </row>
    <row r="430" spans="1:18" ht="15.75">
      <c r="A430" s="59" t="s">
        <v>201</v>
      </c>
      <c r="B430" s="60">
        <v>0</v>
      </c>
      <c r="C430" s="127">
        <v>0</v>
      </c>
      <c r="D430" s="60" t="s">
        <v>384</v>
      </c>
      <c r="E430" s="112">
        <f>+'ORÇ - CONSOLIDADO'!H454</f>
        <v>0</v>
      </c>
      <c r="F430" s="33"/>
      <c r="G430" s="33"/>
      <c r="H430" s="33"/>
      <c r="I430" s="33"/>
      <c r="J430" s="33"/>
      <c r="K430" s="33"/>
      <c r="L430" s="149" t="e">
        <f>+$E430/$E$430/4*100</f>
        <v>#DIV/0!</v>
      </c>
      <c r="M430" s="149" t="e">
        <f>+$E430/$E$430/4*100</f>
        <v>#DIV/0!</v>
      </c>
      <c r="N430" s="33"/>
      <c r="O430" s="33"/>
      <c r="P430" s="149" t="e">
        <f>+$E430/$E$430/4*100</f>
        <v>#DIV/0!</v>
      </c>
      <c r="Q430" s="149" t="e">
        <f>+$E430/$E$430/4*100</f>
        <v>#DIV/0!</v>
      </c>
      <c r="R430" s="148" t="e">
        <f t="shared" si="39"/>
        <v>#DIV/0!</v>
      </c>
    </row>
    <row r="431" spans="1:18" ht="15.75">
      <c r="A431" s="50" t="s">
        <v>570</v>
      </c>
      <c r="B431" s="116">
        <v>0</v>
      </c>
      <c r="C431" s="128"/>
      <c r="D431" s="151" t="s">
        <v>321</v>
      </c>
      <c r="E431" s="118">
        <f>+'ORÇ - CONSOLIDADO'!H455</f>
        <v>0</v>
      </c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148">
        <f t="shared" si="39"/>
        <v>0</v>
      </c>
    </row>
    <row r="432" spans="1:18" ht="15.75">
      <c r="A432" s="52" t="s">
        <v>571</v>
      </c>
      <c r="B432" s="58" t="s">
        <v>253</v>
      </c>
      <c r="C432" s="133" t="s">
        <v>451</v>
      </c>
      <c r="D432" s="53" t="e">
        <f>VLOOKUP(C432,#REF!,3,FALSE)</f>
        <v>#REF!</v>
      </c>
      <c r="E432" s="113">
        <f>+'ORÇ - CONSOLIDADO'!H456</f>
        <v>0</v>
      </c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148">
        <f t="shared" si="39"/>
        <v>0</v>
      </c>
    </row>
    <row r="433" spans="1:18" ht="15.75">
      <c r="A433" s="52" t="s">
        <v>598</v>
      </c>
      <c r="B433" s="58" t="s">
        <v>253</v>
      </c>
      <c r="C433" s="133" t="s">
        <v>452</v>
      </c>
      <c r="D433" s="53" t="e">
        <f>VLOOKUP(C433,#REF!,3,FALSE)</f>
        <v>#REF!</v>
      </c>
      <c r="E433" s="113">
        <f>+'ORÇ - CONSOLIDADO'!H458</f>
        <v>0</v>
      </c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148">
        <f t="shared" si="39"/>
        <v>0</v>
      </c>
    </row>
    <row r="434" spans="1:18" ht="15.75">
      <c r="A434" s="52" t="s">
        <v>871</v>
      </c>
      <c r="B434" s="58" t="s">
        <v>253</v>
      </c>
      <c r="C434" s="133" t="s">
        <v>453</v>
      </c>
      <c r="D434" s="53" t="e">
        <f>VLOOKUP(C434,#REF!,3,FALSE)</f>
        <v>#REF!</v>
      </c>
      <c r="E434" s="113">
        <f>+'ORÇ - CONSOLIDADO'!H460</f>
        <v>0</v>
      </c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148">
        <f t="shared" si="39"/>
        <v>0</v>
      </c>
    </row>
    <row r="435" spans="1:18" ht="15.75">
      <c r="A435" s="52" t="s">
        <v>872</v>
      </c>
      <c r="B435" s="58" t="s">
        <v>26</v>
      </c>
      <c r="C435" s="133">
        <v>100859</v>
      </c>
      <c r="D435" s="53" t="e">
        <f>VLOOKUP(C435,#REF!,3,FALSE)</f>
        <v>#REF!</v>
      </c>
      <c r="E435" s="113">
        <f>+'ORÇ - CONSOLIDADO'!H461</f>
        <v>0</v>
      </c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148">
        <f t="shared" si="39"/>
        <v>0</v>
      </c>
    </row>
    <row r="436" spans="1:18" ht="15.75">
      <c r="A436" s="52" t="s">
        <v>873</v>
      </c>
      <c r="B436" s="58" t="s">
        <v>253</v>
      </c>
      <c r="C436" s="133" t="s">
        <v>454</v>
      </c>
      <c r="D436" s="53" t="e">
        <f>VLOOKUP(C436,#REF!,3,FALSE)</f>
        <v>#REF!</v>
      </c>
      <c r="E436" s="113">
        <f>+'ORÇ - CONSOLIDADO'!H462</f>
        <v>0</v>
      </c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148">
        <f t="shared" si="39"/>
        <v>0</v>
      </c>
    </row>
    <row r="437" spans="1:18" ht="15.75">
      <c r="A437" s="50" t="s">
        <v>874</v>
      </c>
      <c r="B437" s="116">
        <v>0</v>
      </c>
      <c r="C437" s="128"/>
      <c r="D437" s="151" t="s">
        <v>322</v>
      </c>
      <c r="E437" s="118">
        <f>+'ORÇ - CONSOLIDADO'!H465</f>
        <v>0</v>
      </c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148">
        <f t="shared" si="39"/>
        <v>0</v>
      </c>
    </row>
    <row r="438" spans="1:18" ht="15.75">
      <c r="A438" s="52" t="s">
        <v>875</v>
      </c>
      <c r="B438" s="58" t="s">
        <v>253</v>
      </c>
      <c r="C438" s="133" t="s">
        <v>455</v>
      </c>
      <c r="D438" s="53" t="e">
        <f>VLOOKUP(C438,#REF!,3,FALSE)</f>
        <v>#REF!</v>
      </c>
      <c r="E438" s="113">
        <f>+'ORÇ - CONSOLIDADO'!H466</f>
        <v>0</v>
      </c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148">
        <f t="shared" si="39"/>
        <v>0</v>
      </c>
    </row>
    <row r="439" spans="1:18" ht="15.75">
      <c r="A439" s="52" t="s">
        <v>876</v>
      </c>
      <c r="B439" s="58" t="s">
        <v>253</v>
      </c>
      <c r="C439" s="133" t="s">
        <v>456</v>
      </c>
      <c r="D439" s="53" t="e">
        <f>VLOOKUP(C439,#REF!,3,FALSE)</f>
        <v>#REF!</v>
      </c>
      <c r="E439" s="113">
        <f>+'ORÇ - CONSOLIDADO'!H467</f>
        <v>0</v>
      </c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148">
        <f t="shared" si="39"/>
        <v>0</v>
      </c>
    </row>
    <row r="440" spans="1:18" ht="15.75">
      <c r="A440" s="52" t="s">
        <v>877</v>
      </c>
      <c r="B440" s="58" t="s">
        <v>253</v>
      </c>
      <c r="C440" s="133" t="s">
        <v>457</v>
      </c>
      <c r="D440" s="53" t="e">
        <f>VLOOKUP(C440,#REF!,3,FALSE)</f>
        <v>#REF!</v>
      </c>
      <c r="E440" s="113">
        <f>+'ORÇ - CONSOLIDADO'!H468</f>
        <v>0</v>
      </c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148">
        <f t="shared" si="39"/>
        <v>0</v>
      </c>
    </row>
    <row r="441" spans="1:18" ht="15.75">
      <c r="A441" s="52" t="s">
        <v>878</v>
      </c>
      <c r="B441" s="58" t="s">
        <v>26</v>
      </c>
      <c r="C441" s="133">
        <v>86877</v>
      </c>
      <c r="D441" s="53" t="e">
        <f>VLOOKUP(C441,#REF!,3,FALSE)</f>
        <v>#REF!</v>
      </c>
      <c r="E441" s="113">
        <f>+'ORÇ - CONSOLIDADO'!H469</f>
        <v>0</v>
      </c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148">
        <f t="shared" si="39"/>
        <v>0</v>
      </c>
    </row>
    <row r="442" spans="1:18" ht="15.75">
      <c r="A442" s="52" t="s">
        <v>879</v>
      </c>
      <c r="B442" s="58" t="s">
        <v>390</v>
      </c>
      <c r="C442" s="133">
        <v>190561</v>
      </c>
      <c r="D442" s="53" t="e">
        <f>VLOOKUP(C442,#REF!,3,FALSE)</f>
        <v>#REF!</v>
      </c>
      <c r="E442" s="113">
        <f>+'ORÇ - CONSOLIDADO'!H470</f>
        <v>0</v>
      </c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148">
        <f t="shared" si="39"/>
        <v>0</v>
      </c>
    </row>
    <row r="443" spans="1:18" ht="15.75">
      <c r="A443" s="52" t="s">
        <v>880</v>
      </c>
      <c r="B443" s="58" t="s">
        <v>253</v>
      </c>
      <c r="C443" s="133" t="s">
        <v>458</v>
      </c>
      <c r="D443" s="53" t="e">
        <f>VLOOKUP(C443,#REF!,3,FALSE)</f>
        <v>#REF!</v>
      </c>
      <c r="E443" s="113">
        <f>+'ORÇ - CONSOLIDADO'!H471</f>
        <v>0</v>
      </c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148">
        <f t="shared" si="39"/>
        <v>0</v>
      </c>
    </row>
    <row r="444" spans="1:18" ht="15.75">
      <c r="A444" s="52" t="s">
        <v>881</v>
      </c>
      <c r="B444" s="58" t="s">
        <v>253</v>
      </c>
      <c r="C444" s="133" t="s">
        <v>459</v>
      </c>
      <c r="D444" s="53" t="e">
        <f>VLOOKUP(C444,#REF!,3,FALSE)</f>
        <v>#REF!</v>
      </c>
      <c r="E444" s="113">
        <f>+'ORÇ - CONSOLIDADO'!H472</f>
        <v>0</v>
      </c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148">
        <f t="shared" si="39"/>
        <v>0</v>
      </c>
    </row>
    <row r="445" spans="1:18" ht="15.75">
      <c r="A445" s="52" t="s">
        <v>882</v>
      </c>
      <c r="B445" s="58" t="s">
        <v>253</v>
      </c>
      <c r="C445" s="133" t="s">
        <v>460</v>
      </c>
      <c r="D445" s="53" t="e">
        <f>VLOOKUP(C445,#REF!,3,FALSE)</f>
        <v>#REF!</v>
      </c>
      <c r="E445" s="113">
        <f>+'ORÇ - CONSOLIDADO'!H473</f>
        <v>0</v>
      </c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148">
        <f t="shared" si="39"/>
        <v>0</v>
      </c>
    </row>
    <row r="446" spans="1:18" ht="15.75">
      <c r="A446" s="52" t="s">
        <v>883</v>
      </c>
      <c r="B446" s="58" t="s">
        <v>253</v>
      </c>
      <c r="C446" s="133" t="s">
        <v>461</v>
      </c>
      <c r="D446" s="53" t="e">
        <f>VLOOKUP(C446,#REF!,3,FALSE)</f>
        <v>#REF!</v>
      </c>
      <c r="E446" s="113">
        <f>+'ORÇ - CONSOLIDADO'!H474</f>
        <v>0</v>
      </c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148">
        <f t="shared" si="39"/>
        <v>0</v>
      </c>
    </row>
    <row r="447" spans="1:18" ht="15.75">
      <c r="A447" s="52" t="s">
        <v>884</v>
      </c>
      <c r="B447" s="58" t="s">
        <v>253</v>
      </c>
      <c r="C447" s="133" t="s">
        <v>462</v>
      </c>
      <c r="D447" s="53" t="e">
        <f>VLOOKUP(C447,#REF!,3,FALSE)</f>
        <v>#REF!</v>
      </c>
      <c r="E447" s="113">
        <f>+'ORÇ - CONSOLIDADO'!H475</f>
        <v>0</v>
      </c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148">
        <f t="shared" si="39"/>
        <v>0</v>
      </c>
    </row>
    <row r="448" spans="1:18" ht="15.75">
      <c r="A448" s="52" t="s">
        <v>885</v>
      </c>
      <c r="B448" s="58" t="s">
        <v>26</v>
      </c>
      <c r="C448" s="133">
        <v>95472</v>
      </c>
      <c r="D448" s="53" t="e">
        <f>VLOOKUP(C448,#REF!,3,FALSE)</f>
        <v>#REF!</v>
      </c>
      <c r="E448" s="113">
        <f>+'ORÇ - CONSOLIDADO'!H476</f>
        <v>0</v>
      </c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148">
        <f t="shared" si="39"/>
        <v>0</v>
      </c>
    </row>
    <row r="449" spans="1:18" ht="15.75">
      <c r="A449" s="52" t="s">
        <v>886</v>
      </c>
      <c r="B449" s="58" t="s">
        <v>26</v>
      </c>
      <c r="C449" s="133">
        <v>100849</v>
      </c>
      <c r="D449" s="53" t="e">
        <f>VLOOKUP(C449,#REF!,3,FALSE)</f>
        <v>#REF!</v>
      </c>
      <c r="E449" s="113">
        <f>+'ORÇ - CONSOLIDADO'!H477</f>
        <v>0</v>
      </c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148">
        <f t="shared" si="39"/>
        <v>0</v>
      </c>
    </row>
    <row r="450" spans="1:18" ht="15.75">
      <c r="A450" s="52" t="s">
        <v>887</v>
      </c>
      <c r="B450" s="58" t="s">
        <v>253</v>
      </c>
      <c r="C450" s="133" t="s">
        <v>463</v>
      </c>
      <c r="D450" s="53" t="e">
        <f>VLOOKUP(C450,#REF!,3,FALSE)</f>
        <v>#REF!</v>
      </c>
      <c r="E450" s="113">
        <f>+'ORÇ - CONSOLIDADO'!H476</f>
        <v>0</v>
      </c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148">
        <f t="shared" si="39"/>
        <v>0</v>
      </c>
    </row>
    <row r="451" spans="1:18" ht="15.75">
      <c r="A451" s="52" t="s">
        <v>888</v>
      </c>
      <c r="B451" s="58" t="s">
        <v>253</v>
      </c>
      <c r="C451" s="133" t="s">
        <v>464</v>
      </c>
      <c r="D451" s="53" t="e">
        <f>VLOOKUP(C451,#REF!,3,FALSE)</f>
        <v>#REF!</v>
      </c>
      <c r="E451" s="113">
        <f>+'ORÇ - CONSOLIDADO'!H477</f>
        <v>0</v>
      </c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148">
        <f t="shared" si="39"/>
        <v>0</v>
      </c>
    </row>
    <row r="452" spans="1:18" ht="15.75">
      <c r="A452" s="52" t="s">
        <v>889</v>
      </c>
      <c r="B452" s="58" t="s">
        <v>253</v>
      </c>
      <c r="C452" s="133" t="s">
        <v>465</v>
      </c>
      <c r="D452" s="53" t="e">
        <f>VLOOKUP(C452,#REF!,3,FALSE)</f>
        <v>#REF!</v>
      </c>
      <c r="E452" s="113">
        <f>+'ORÇ - CONSOLIDADO'!H478</f>
        <v>0</v>
      </c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148">
        <f t="shared" si="39"/>
        <v>0</v>
      </c>
    </row>
    <row r="453" spans="1:18" ht="15.75">
      <c r="A453" s="52" t="s">
        <v>890</v>
      </c>
      <c r="B453" s="58" t="s">
        <v>253</v>
      </c>
      <c r="C453" s="133" t="s">
        <v>466</v>
      </c>
      <c r="D453" s="53" t="e">
        <f>VLOOKUP(C453,#REF!,3,FALSE)</f>
        <v>#REF!</v>
      </c>
      <c r="E453" s="113">
        <f>+'ORÇ - CONSOLIDADO'!H479</f>
        <v>0</v>
      </c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148">
        <f t="shared" si="39"/>
        <v>0</v>
      </c>
    </row>
    <row r="454" spans="1:18" ht="15.75">
      <c r="A454" s="52" t="s">
        <v>891</v>
      </c>
      <c r="B454" s="58" t="s">
        <v>253</v>
      </c>
      <c r="C454" s="133" t="s">
        <v>467</v>
      </c>
      <c r="D454" s="53" t="e">
        <f>VLOOKUP(C454,#REF!,3,FALSE)</f>
        <v>#REF!</v>
      </c>
      <c r="E454" s="113">
        <f>+'ORÇ - CONSOLIDADO'!H480</f>
        <v>0</v>
      </c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148">
        <f t="shared" si="39"/>
        <v>0</v>
      </c>
    </row>
    <row r="455" spans="1:18" ht="15.75">
      <c r="A455" s="52" t="s">
        <v>892</v>
      </c>
      <c r="B455" s="58" t="s">
        <v>26</v>
      </c>
      <c r="C455" s="133">
        <v>95547</v>
      </c>
      <c r="D455" s="53" t="e">
        <f>VLOOKUP(C455,#REF!,3,FALSE)</f>
        <v>#REF!</v>
      </c>
      <c r="E455" s="113">
        <f>+'ORÇ - CONSOLIDADO'!H481</f>
        <v>0</v>
      </c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148">
        <f t="shared" si="39"/>
        <v>0</v>
      </c>
    </row>
    <row r="456" spans="1:18" ht="15.75">
      <c r="A456" s="50" t="s">
        <v>893</v>
      </c>
      <c r="B456" s="116">
        <v>0</v>
      </c>
      <c r="C456" s="128"/>
      <c r="D456" s="151" t="s">
        <v>315</v>
      </c>
      <c r="E456" s="118">
        <f>+'ORÇ - CONSOLIDADO'!H482</f>
        <v>0</v>
      </c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148">
        <f t="shared" si="39"/>
        <v>0</v>
      </c>
    </row>
    <row r="457" spans="1:18" ht="15.75">
      <c r="A457" s="52" t="s">
        <v>894</v>
      </c>
      <c r="B457" s="58" t="s">
        <v>253</v>
      </c>
      <c r="C457" s="133" t="s">
        <v>468</v>
      </c>
      <c r="D457" s="53" t="e">
        <f>VLOOKUP(C457,#REF!,3,FALSE)</f>
        <v>#REF!</v>
      </c>
      <c r="E457" s="113">
        <f>+'ORÇ - CONSOLIDADO'!H483</f>
        <v>0</v>
      </c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148">
        <f t="shared" si="39"/>
        <v>0</v>
      </c>
    </row>
    <row r="458" spans="1:18" ht="15.75">
      <c r="A458" s="52" t="s">
        <v>895</v>
      </c>
      <c r="B458" s="58" t="s">
        <v>253</v>
      </c>
      <c r="C458" s="133" t="s">
        <v>469</v>
      </c>
      <c r="D458" s="53" t="e">
        <f>VLOOKUP(C458,#REF!,3,FALSE)</f>
        <v>#REF!</v>
      </c>
      <c r="E458" s="113">
        <f>+'ORÇ - CONSOLIDADO'!H484</f>
        <v>0</v>
      </c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148">
        <f t="shared" si="39"/>
        <v>0</v>
      </c>
    </row>
    <row r="459" spans="1:18" ht="15.75">
      <c r="A459" s="52" t="s">
        <v>896</v>
      </c>
      <c r="B459" s="58" t="s">
        <v>253</v>
      </c>
      <c r="C459" s="133" t="s">
        <v>470</v>
      </c>
      <c r="D459" s="53" t="e">
        <f>VLOOKUP(C459,#REF!,3,FALSE)</f>
        <v>#REF!</v>
      </c>
      <c r="E459" s="113">
        <f>+'ORÇ - CONSOLIDADO'!H485</f>
        <v>0</v>
      </c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148">
        <f t="shared" si="39"/>
        <v>0</v>
      </c>
    </row>
    <row r="460" spans="1:18" ht="15.75">
      <c r="A460" s="50" t="s">
        <v>897</v>
      </c>
      <c r="B460" s="116">
        <v>0</v>
      </c>
      <c r="C460" s="128"/>
      <c r="D460" s="151" t="s">
        <v>718</v>
      </c>
      <c r="E460" s="118">
        <f>+'ORÇ - CONSOLIDADO'!H487</f>
        <v>0</v>
      </c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148">
        <f t="shared" si="39"/>
        <v>0</v>
      </c>
    </row>
    <row r="461" spans="1:18" ht="15.75">
      <c r="A461" s="52" t="s">
        <v>898</v>
      </c>
      <c r="B461" s="58" t="s">
        <v>253</v>
      </c>
      <c r="C461" s="133" t="s">
        <v>719</v>
      </c>
      <c r="D461" s="53" t="e">
        <f>VLOOKUP(C461,#REF!,3,FALSE)</f>
        <v>#REF!</v>
      </c>
      <c r="E461" s="113">
        <f>+'ORÇ - CONSOLIDADO'!H488</f>
        <v>0</v>
      </c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148">
        <f t="shared" si="39"/>
        <v>0</v>
      </c>
    </row>
    <row r="462" spans="1:18" ht="15.75">
      <c r="A462" s="52" t="s">
        <v>899</v>
      </c>
      <c r="B462" s="58" t="s">
        <v>253</v>
      </c>
      <c r="C462" s="133" t="s">
        <v>720</v>
      </c>
      <c r="D462" s="53" t="e">
        <f>VLOOKUP(C462,#REF!,3,FALSE)</f>
        <v>#REF!</v>
      </c>
      <c r="E462" s="113">
        <f>+'ORÇ - CONSOLIDADO'!H489</f>
        <v>0</v>
      </c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148">
        <f t="shared" si="39"/>
        <v>0</v>
      </c>
    </row>
    <row r="463" spans="1:18" ht="15.75">
      <c r="A463" s="52"/>
      <c r="B463" s="58">
        <v>0</v>
      </c>
      <c r="C463" s="133">
        <v>0</v>
      </c>
      <c r="D463" s="58">
        <v>0</v>
      </c>
      <c r="E463" s="113">
        <f>+'ORÇ - CONSOLIDADO'!H490</f>
        <v>0</v>
      </c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148">
        <f t="shared" si="39"/>
        <v>0</v>
      </c>
    </row>
    <row r="464" spans="1:18" ht="15.75">
      <c r="A464" s="59" t="s">
        <v>206</v>
      </c>
      <c r="B464" s="60">
        <v>0</v>
      </c>
      <c r="C464" s="127">
        <v>0</v>
      </c>
      <c r="D464" s="60" t="s">
        <v>288</v>
      </c>
      <c r="E464" s="112">
        <f>+'ORÇ - CONSOLIDADO'!H491</f>
        <v>0</v>
      </c>
      <c r="F464" s="33"/>
      <c r="G464" s="33"/>
      <c r="H464" s="33"/>
      <c r="I464" s="33"/>
      <c r="J464" s="149" t="e">
        <f>+$E464/$E$464/8*100</f>
        <v>#DIV/0!</v>
      </c>
      <c r="K464" s="149" t="e">
        <f aca="true" t="shared" si="40" ref="K464:Q464">+$E464/$E$464/8*100</f>
        <v>#DIV/0!</v>
      </c>
      <c r="L464" s="149" t="e">
        <f t="shared" si="40"/>
        <v>#DIV/0!</v>
      </c>
      <c r="M464" s="149" t="e">
        <f t="shared" si="40"/>
        <v>#DIV/0!</v>
      </c>
      <c r="N464" s="149" t="e">
        <f t="shared" si="40"/>
        <v>#DIV/0!</v>
      </c>
      <c r="O464" s="149" t="e">
        <f t="shared" si="40"/>
        <v>#DIV/0!</v>
      </c>
      <c r="P464" s="149" t="e">
        <f t="shared" si="40"/>
        <v>#DIV/0!</v>
      </c>
      <c r="Q464" s="149" t="e">
        <f t="shared" si="40"/>
        <v>#DIV/0!</v>
      </c>
      <c r="R464" s="148" t="e">
        <f t="shared" si="39"/>
        <v>#DIV/0!</v>
      </c>
    </row>
    <row r="465" spans="1:18" ht="15.75">
      <c r="A465" s="50" t="s">
        <v>430</v>
      </c>
      <c r="B465" s="116">
        <v>0</v>
      </c>
      <c r="C465" s="128" t="s">
        <v>209</v>
      </c>
      <c r="D465" s="151" t="e">
        <f>VLOOKUP(C465,#REF!,3,FALSE)</f>
        <v>#REF!</v>
      </c>
      <c r="E465" s="118">
        <f>+'ORÇ - CONSOLIDADO'!H492</f>
        <v>0</v>
      </c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148">
        <f t="shared" si="39"/>
        <v>0</v>
      </c>
    </row>
    <row r="466" spans="1:18" ht="15.75">
      <c r="A466" s="52" t="s">
        <v>599</v>
      </c>
      <c r="B466" s="58" t="s">
        <v>253</v>
      </c>
      <c r="C466" s="133" t="s">
        <v>211</v>
      </c>
      <c r="D466" s="53" t="e">
        <f>VLOOKUP(C466,#REF!,3,FALSE)</f>
        <v>#REF!</v>
      </c>
      <c r="E466" s="113">
        <f>+'ORÇ - CONSOLIDADO'!H493</f>
        <v>0</v>
      </c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148">
        <f t="shared" si="39"/>
        <v>0</v>
      </c>
    </row>
    <row r="467" spans="1:18" ht="15.75">
      <c r="A467" s="52" t="s">
        <v>600</v>
      </c>
      <c r="B467" s="58" t="s">
        <v>253</v>
      </c>
      <c r="C467" s="133" t="s">
        <v>212</v>
      </c>
      <c r="D467" s="53" t="e">
        <f>VLOOKUP(C467,#REF!,3,FALSE)</f>
        <v>#REF!</v>
      </c>
      <c r="E467" s="113">
        <f>+'ORÇ - CONSOLIDADO'!H494</f>
        <v>0</v>
      </c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148">
        <f t="shared" si="39"/>
        <v>0</v>
      </c>
    </row>
    <row r="468" spans="1:18" ht="15.75">
      <c r="A468" s="52"/>
      <c r="B468" s="58">
        <v>0</v>
      </c>
      <c r="C468" s="133">
        <v>0</v>
      </c>
      <c r="D468" s="58">
        <v>0</v>
      </c>
      <c r="E468" s="113">
        <f>+'ORÇ - CONSOLIDADO'!H495</f>
        <v>0</v>
      </c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148">
        <f t="shared" si="39"/>
        <v>0</v>
      </c>
    </row>
    <row r="469" spans="1:18" ht="15.75">
      <c r="A469" s="59" t="s">
        <v>213</v>
      </c>
      <c r="B469" s="60">
        <v>0</v>
      </c>
      <c r="C469" s="127">
        <v>0</v>
      </c>
      <c r="D469" s="60" t="s">
        <v>287</v>
      </c>
      <c r="E469" s="112">
        <f>+'ORÇ - CONSOLIDADO'!H496</f>
        <v>0</v>
      </c>
      <c r="F469" s="33"/>
      <c r="G469" s="33"/>
      <c r="H469" s="33"/>
      <c r="I469" s="33"/>
      <c r="J469" s="149" t="e">
        <f>+$E469/$E$469/8*100</f>
        <v>#DIV/0!</v>
      </c>
      <c r="K469" s="149" t="e">
        <f aca="true" t="shared" si="41" ref="K469:Q469">+$E469/$E$469/8*100</f>
        <v>#DIV/0!</v>
      </c>
      <c r="L469" s="149" t="e">
        <f t="shared" si="41"/>
        <v>#DIV/0!</v>
      </c>
      <c r="M469" s="149" t="e">
        <f t="shared" si="41"/>
        <v>#DIV/0!</v>
      </c>
      <c r="N469" s="149" t="e">
        <f t="shared" si="41"/>
        <v>#DIV/0!</v>
      </c>
      <c r="O469" s="149" t="e">
        <f t="shared" si="41"/>
        <v>#DIV/0!</v>
      </c>
      <c r="P469" s="149" t="e">
        <f t="shared" si="41"/>
        <v>#DIV/0!</v>
      </c>
      <c r="Q469" s="149" t="e">
        <f t="shared" si="41"/>
        <v>#DIV/0!</v>
      </c>
      <c r="R469" s="148" t="e">
        <f t="shared" si="39"/>
        <v>#DIV/0!</v>
      </c>
    </row>
    <row r="470" spans="1:18" ht="15.75">
      <c r="A470" s="50" t="s">
        <v>431</v>
      </c>
      <c r="B470" s="116">
        <v>0</v>
      </c>
      <c r="C470" s="128" t="s">
        <v>209</v>
      </c>
      <c r="D470" s="151" t="e">
        <f>VLOOKUP(C470,#REF!,3,FALSE)</f>
        <v>#REF!</v>
      </c>
      <c r="E470" s="118">
        <f>+'ORÇ - CONSOLIDADO'!H497</f>
        <v>0</v>
      </c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148">
        <f t="shared" si="39"/>
        <v>0</v>
      </c>
    </row>
    <row r="471" spans="1:18" ht="15.75">
      <c r="A471" s="52" t="s">
        <v>777</v>
      </c>
      <c r="B471" s="58" t="s">
        <v>253</v>
      </c>
      <c r="C471" s="133" t="s">
        <v>211</v>
      </c>
      <c r="D471" s="53" t="e">
        <f>VLOOKUP(C471,#REF!,3,FALSE)</f>
        <v>#REF!</v>
      </c>
      <c r="E471" s="113">
        <f>+'ORÇ - CONSOLIDADO'!H498</f>
        <v>0</v>
      </c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148">
        <f t="shared" si="39"/>
        <v>0</v>
      </c>
    </row>
    <row r="472" spans="1:18" ht="15.75">
      <c r="A472" s="52" t="s">
        <v>778</v>
      </c>
      <c r="B472" s="58" t="s">
        <v>253</v>
      </c>
      <c r="C472" s="133" t="s">
        <v>212</v>
      </c>
      <c r="D472" s="53" t="e">
        <f>VLOOKUP(C472,#REF!,3,FALSE)</f>
        <v>#REF!</v>
      </c>
      <c r="E472" s="113">
        <f>+'ORÇ - CONSOLIDADO'!H499</f>
        <v>0</v>
      </c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148">
        <f t="shared" si="39"/>
        <v>0</v>
      </c>
    </row>
    <row r="473" spans="1:18" ht="15.75">
      <c r="A473" s="52" t="s">
        <v>778</v>
      </c>
      <c r="B473" s="58" t="s">
        <v>253</v>
      </c>
      <c r="C473" s="133" t="s">
        <v>437</v>
      </c>
      <c r="D473" s="53" t="e">
        <f>VLOOKUP(C473,#REF!,3,FALSE)</f>
        <v>#REF!</v>
      </c>
      <c r="E473" s="113">
        <f>+'ORÇ - CONSOLIDADO'!H500</f>
        <v>0</v>
      </c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148">
        <f t="shared" si="39"/>
        <v>0</v>
      </c>
    </row>
    <row r="474" spans="1:18" ht="15.75">
      <c r="A474" s="52"/>
      <c r="B474" s="65">
        <v>0</v>
      </c>
      <c r="C474" s="129">
        <v>0</v>
      </c>
      <c r="D474" s="65">
        <v>0</v>
      </c>
      <c r="E474" s="111">
        <f>+'ORÇ - CONSOLIDADO'!H501</f>
        <v>0</v>
      </c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148">
        <f t="shared" si="39"/>
        <v>0</v>
      </c>
    </row>
    <row r="475" spans="1:18" ht="15.75">
      <c r="A475" s="59" t="s">
        <v>214</v>
      </c>
      <c r="B475" s="60">
        <v>0</v>
      </c>
      <c r="C475" s="127">
        <v>0</v>
      </c>
      <c r="D475" s="60" t="s">
        <v>24</v>
      </c>
      <c r="E475" s="112">
        <f>+'ORÇ - CONSOLIDADO'!H502</f>
        <v>0</v>
      </c>
      <c r="F475" s="33"/>
      <c r="G475" s="33"/>
      <c r="H475" s="33"/>
      <c r="I475" s="33"/>
      <c r="J475" s="149" t="e">
        <f>+$E475/$E$475/8*100</f>
        <v>#DIV/0!</v>
      </c>
      <c r="K475" s="149" t="e">
        <f aca="true" t="shared" si="42" ref="K475:Q475">+$E475/$E$475/8*100</f>
        <v>#DIV/0!</v>
      </c>
      <c r="L475" s="149" t="e">
        <f t="shared" si="42"/>
        <v>#DIV/0!</v>
      </c>
      <c r="M475" s="149" t="e">
        <f t="shared" si="42"/>
        <v>#DIV/0!</v>
      </c>
      <c r="N475" s="149" t="e">
        <f t="shared" si="42"/>
        <v>#DIV/0!</v>
      </c>
      <c r="O475" s="149" t="e">
        <f t="shared" si="42"/>
        <v>#DIV/0!</v>
      </c>
      <c r="P475" s="149" t="e">
        <f t="shared" si="42"/>
        <v>#DIV/0!</v>
      </c>
      <c r="Q475" s="149" t="e">
        <f t="shared" si="42"/>
        <v>#DIV/0!</v>
      </c>
      <c r="R475" s="148" t="e">
        <f t="shared" si="39"/>
        <v>#DIV/0!</v>
      </c>
    </row>
    <row r="476" spans="1:18" ht="15.75">
      <c r="A476" s="50" t="s">
        <v>901</v>
      </c>
      <c r="B476" s="116">
        <v>0</v>
      </c>
      <c r="C476" s="128" t="s">
        <v>299</v>
      </c>
      <c r="D476" s="151" t="s">
        <v>1133</v>
      </c>
      <c r="E476" s="121">
        <f>+'ORÇ - CONSOLIDADO'!H503</f>
        <v>0</v>
      </c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148">
        <f aca="true" t="shared" si="43" ref="R476:R523">SUM(F476:Q476)</f>
        <v>0</v>
      </c>
    </row>
    <row r="477" spans="1:18" ht="15.75">
      <c r="A477" s="52" t="s">
        <v>902</v>
      </c>
      <c r="B477" s="55" t="s">
        <v>253</v>
      </c>
      <c r="C477" s="129" t="s">
        <v>73</v>
      </c>
      <c r="D477" s="53" t="e">
        <f>VLOOKUP(C477,#REF!,3,FALSE)</f>
        <v>#REF!</v>
      </c>
      <c r="E477" s="111">
        <f>+'ORÇ - CONSOLIDADO'!H504</f>
        <v>0</v>
      </c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148">
        <f t="shared" si="43"/>
        <v>0</v>
      </c>
    </row>
    <row r="478" spans="1:18" ht="15.75">
      <c r="A478" s="52" t="s">
        <v>1134</v>
      </c>
      <c r="B478" s="55" t="s">
        <v>253</v>
      </c>
      <c r="C478" s="129" t="s">
        <v>65</v>
      </c>
      <c r="D478" s="53" t="e">
        <f>VLOOKUP(C478,#REF!,3,FALSE)</f>
        <v>#REF!</v>
      </c>
      <c r="E478" s="111">
        <f>+'ORÇ - CONSOLIDADO'!H505</f>
        <v>0</v>
      </c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148">
        <f t="shared" si="43"/>
        <v>0</v>
      </c>
    </row>
    <row r="479" spans="1:18" ht="15.75">
      <c r="A479" s="52" t="s">
        <v>1135</v>
      </c>
      <c r="B479" s="180" t="s">
        <v>797</v>
      </c>
      <c r="C479" s="203" t="e">
        <f>+#REF!</f>
        <v>#REF!</v>
      </c>
      <c r="D479" s="53" t="e">
        <f>+#REF!</f>
        <v>#REF!</v>
      </c>
      <c r="E479" s="111">
        <f>+'ORÇ - CONSOLIDADO'!H506</f>
        <v>0</v>
      </c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148">
        <f t="shared" si="43"/>
        <v>0</v>
      </c>
    </row>
    <row r="480" spans="1:18" ht="15.75">
      <c r="A480" s="52" t="s">
        <v>1136</v>
      </c>
      <c r="B480" s="58" t="s">
        <v>253</v>
      </c>
      <c r="C480" s="133" t="s">
        <v>438</v>
      </c>
      <c r="D480" s="53" t="e">
        <f>VLOOKUP(C480,#REF!,3,FALSE)</f>
        <v>#REF!</v>
      </c>
      <c r="E480" s="111">
        <f>+'ORÇ - CONSOLIDADO'!H507</f>
        <v>0</v>
      </c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148">
        <f t="shared" si="43"/>
        <v>0</v>
      </c>
    </row>
    <row r="481" spans="1:18" ht="15.75">
      <c r="A481" s="52"/>
      <c r="B481" s="58">
        <v>0</v>
      </c>
      <c r="C481" s="133">
        <v>0</v>
      </c>
      <c r="D481" s="58">
        <v>0</v>
      </c>
      <c r="E481" s="111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148">
        <f t="shared" si="43"/>
        <v>0</v>
      </c>
    </row>
    <row r="482" spans="1:18" ht="15.75">
      <c r="A482" s="50"/>
      <c r="B482" s="116">
        <v>0</v>
      </c>
      <c r="C482" s="128" t="s">
        <v>300</v>
      </c>
      <c r="D482" s="151" t="s">
        <v>699</v>
      </c>
      <c r="E482" s="121">
        <f>+'ORÇ - CONSOLIDADO'!H508</f>
        <v>0</v>
      </c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148">
        <f t="shared" si="43"/>
        <v>0</v>
      </c>
    </row>
    <row r="483" spans="1:18" ht="15.75">
      <c r="A483" s="52" t="s">
        <v>903</v>
      </c>
      <c r="B483" s="58" t="s">
        <v>253</v>
      </c>
      <c r="C483" s="133" t="s">
        <v>810</v>
      </c>
      <c r="D483" s="53" t="e">
        <f>VLOOKUP(C483,#REF!,3,FALSE)</f>
        <v>#REF!</v>
      </c>
      <c r="E483" s="111">
        <f>+'ORÇ - CONSOLIDADO'!H509</f>
        <v>0</v>
      </c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148">
        <f t="shared" si="43"/>
        <v>0</v>
      </c>
    </row>
    <row r="484" spans="1:18" ht="15.75">
      <c r="A484" s="52" t="s">
        <v>904</v>
      </c>
      <c r="B484" s="180" t="s">
        <v>797</v>
      </c>
      <c r="C484" s="203" t="e">
        <f>+#REF!</f>
        <v>#REF!</v>
      </c>
      <c r="D484" s="53" t="e">
        <f>+#REF!</f>
        <v>#REF!</v>
      </c>
      <c r="E484" s="111">
        <f>+'ORÇ - CONSOLIDADO'!H510</f>
        <v>0</v>
      </c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148">
        <f t="shared" si="43"/>
        <v>0</v>
      </c>
    </row>
    <row r="485" spans="1:18" ht="15.75">
      <c r="A485" s="52"/>
      <c r="B485" s="58">
        <v>0</v>
      </c>
      <c r="C485" s="133">
        <v>0</v>
      </c>
      <c r="D485" s="58"/>
      <c r="E485" s="111">
        <f>+'ORÇ - CONSOLIDADO'!H511</f>
        <v>0</v>
      </c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148">
        <f t="shared" si="43"/>
        <v>0</v>
      </c>
    </row>
    <row r="486" spans="1:18" ht="15.75">
      <c r="A486" s="59" t="s">
        <v>215</v>
      </c>
      <c r="B486" s="60">
        <v>0</v>
      </c>
      <c r="C486" s="127">
        <v>0</v>
      </c>
      <c r="D486" s="60" t="s">
        <v>18</v>
      </c>
      <c r="E486" s="112">
        <f>+'ORÇ - CONSOLIDADO'!H512</f>
        <v>0</v>
      </c>
      <c r="F486" s="33"/>
      <c r="G486" s="33"/>
      <c r="H486" s="33"/>
      <c r="I486" s="33"/>
      <c r="J486" s="33"/>
      <c r="K486" s="149" t="e">
        <f>+$E486/$E$486/5*100</f>
        <v>#DIV/0!</v>
      </c>
      <c r="L486" s="149" t="e">
        <f>+$E486/$E$486/5*100</f>
        <v>#DIV/0!</v>
      </c>
      <c r="M486" s="149" t="e">
        <f>+$E486/$E$486/5*100</f>
        <v>#DIV/0!</v>
      </c>
      <c r="N486" s="33"/>
      <c r="O486" s="149"/>
      <c r="P486" s="149" t="e">
        <f>+$E486/$E$486/5*100</f>
        <v>#DIV/0!</v>
      </c>
      <c r="Q486" s="149" t="e">
        <f>+$E486/$E$486/5*100</f>
        <v>#DIV/0!</v>
      </c>
      <c r="R486" s="148" t="e">
        <f t="shared" si="43"/>
        <v>#DIV/0!</v>
      </c>
    </row>
    <row r="487" spans="1:18" ht="15.75">
      <c r="A487" s="50" t="s">
        <v>602</v>
      </c>
      <c r="B487" s="116">
        <v>0</v>
      </c>
      <c r="C487" s="128"/>
      <c r="D487" s="151" t="s">
        <v>224</v>
      </c>
      <c r="E487" s="118">
        <f>+'ORÇ - CONSOLIDADO'!H513</f>
        <v>0</v>
      </c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148">
        <f t="shared" si="43"/>
        <v>0</v>
      </c>
    </row>
    <row r="488" spans="1:18" ht="15.75">
      <c r="A488" s="52" t="s">
        <v>603</v>
      </c>
      <c r="B488" s="65" t="s">
        <v>253</v>
      </c>
      <c r="C488" s="129" t="s">
        <v>225</v>
      </c>
      <c r="D488" s="53" t="e">
        <f>VLOOKUP(C488,#REF!,3,FALSE)</f>
        <v>#REF!</v>
      </c>
      <c r="E488" s="111">
        <f>+'ORÇ - CONSOLIDADO'!H514</f>
        <v>0</v>
      </c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148">
        <f t="shared" si="43"/>
        <v>0</v>
      </c>
    </row>
    <row r="489" spans="1:18" ht="15.75">
      <c r="A489" s="50" t="s">
        <v>905</v>
      </c>
      <c r="B489" s="116">
        <v>0</v>
      </c>
      <c r="C489" s="131"/>
      <c r="D489" s="151" t="s">
        <v>813</v>
      </c>
      <c r="E489" s="123">
        <f>+'ORÇ - CONSOLIDADO'!H516</f>
        <v>0</v>
      </c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148">
        <f t="shared" si="43"/>
        <v>0</v>
      </c>
    </row>
    <row r="490" spans="1:18" ht="15.75">
      <c r="A490" s="52" t="s">
        <v>906</v>
      </c>
      <c r="B490" s="65" t="s">
        <v>253</v>
      </c>
      <c r="C490" s="129" t="s">
        <v>229</v>
      </c>
      <c r="D490" s="53" t="e">
        <f>VLOOKUP(C490,#REF!,3,FALSE)</f>
        <v>#REF!</v>
      </c>
      <c r="E490" s="111">
        <f>+'ORÇ - CONSOLIDADO'!H517</f>
        <v>0</v>
      </c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148">
        <f t="shared" si="43"/>
        <v>0</v>
      </c>
    </row>
    <row r="491" spans="1:18" ht="15.75">
      <c r="A491" s="52" t="s">
        <v>907</v>
      </c>
      <c r="B491" s="65" t="s">
        <v>253</v>
      </c>
      <c r="C491" s="129" t="s">
        <v>95</v>
      </c>
      <c r="D491" s="53" t="e">
        <f>VLOOKUP(C491,#REF!,3,FALSE)</f>
        <v>#REF!</v>
      </c>
      <c r="E491" s="111">
        <f>+'ORÇ - CONSOLIDADO'!H518</f>
        <v>0</v>
      </c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148">
        <f t="shared" si="43"/>
        <v>0</v>
      </c>
    </row>
    <row r="492" spans="1:18" ht="15.75">
      <c r="A492" s="52" t="s">
        <v>908</v>
      </c>
      <c r="B492" s="65" t="s">
        <v>253</v>
      </c>
      <c r="C492" s="129" t="s">
        <v>448</v>
      </c>
      <c r="D492" s="53" t="e">
        <f>VLOOKUP(C492,#REF!,3,FALSE)</f>
        <v>#REF!</v>
      </c>
      <c r="E492" s="111">
        <f>+'ORÇ - CONSOLIDADO'!H519</f>
        <v>0</v>
      </c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148">
        <f t="shared" si="43"/>
        <v>0</v>
      </c>
    </row>
    <row r="493" spans="1:18" ht="15.75">
      <c r="A493" s="52" t="s">
        <v>909</v>
      </c>
      <c r="B493" s="65" t="s">
        <v>390</v>
      </c>
      <c r="C493" s="129">
        <v>180142</v>
      </c>
      <c r="D493" s="53" t="e">
        <f>VLOOKUP(C493,#REF!,3,FALSE)</f>
        <v>#REF!</v>
      </c>
      <c r="E493" s="111">
        <f>+'ORÇ - CONSOLIDADO'!H520</f>
        <v>0</v>
      </c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148">
        <f t="shared" si="43"/>
        <v>0</v>
      </c>
    </row>
    <row r="494" spans="1:18" ht="15.75">
      <c r="A494" s="50" t="s">
        <v>910</v>
      </c>
      <c r="B494" s="116">
        <v>0</v>
      </c>
      <c r="C494" s="131" t="s">
        <v>228</v>
      </c>
      <c r="D494" s="151" t="s">
        <v>812</v>
      </c>
      <c r="E494" s="123">
        <f>+'ORÇ - CONSOLIDADO'!H521</f>
        <v>0</v>
      </c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148">
        <f t="shared" si="43"/>
        <v>0</v>
      </c>
    </row>
    <row r="495" spans="1:18" ht="15.75">
      <c r="A495" s="52" t="s">
        <v>911</v>
      </c>
      <c r="B495" s="65" t="s">
        <v>253</v>
      </c>
      <c r="C495" s="129" t="s">
        <v>805</v>
      </c>
      <c r="D495" s="53" t="e">
        <f>VLOOKUP(C495,#REF!,3,FALSE)</f>
        <v>#REF!</v>
      </c>
      <c r="E495" s="111">
        <f>+'ORÇ - CONSOLIDADO'!H522</f>
        <v>0</v>
      </c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148">
        <f t="shared" si="43"/>
        <v>0</v>
      </c>
    </row>
    <row r="496" spans="1:18" ht="15.75">
      <c r="A496" s="52" t="s">
        <v>912</v>
      </c>
      <c r="B496" s="65" t="s">
        <v>806</v>
      </c>
      <c r="C496" s="129" t="s">
        <v>807</v>
      </c>
      <c r="D496" s="53" t="e">
        <f>VLOOKUP(C496,#REF!,3,FALSE)</f>
        <v>#REF!</v>
      </c>
      <c r="E496" s="111">
        <f>+'ORÇ - CONSOLIDADO'!H523</f>
        <v>0</v>
      </c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148">
        <f t="shared" si="43"/>
        <v>0</v>
      </c>
    </row>
    <row r="497" spans="1:18" ht="15.75">
      <c r="A497" s="52"/>
      <c r="B497" s="65">
        <v>0</v>
      </c>
      <c r="C497" s="129">
        <v>0</v>
      </c>
      <c r="D497" s="53"/>
      <c r="E497" s="111">
        <f>+'ORÇ - CONSOLIDADO'!H524</f>
        <v>0</v>
      </c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148">
        <f t="shared" si="43"/>
        <v>0</v>
      </c>
    </row>
    <row r="498" spans="1:18" ht="15.75">
      <c r="A498" s="59" t="s">
        <v>216</v>
      </c>
      <c r="B498" s="60">
        <v>0</v>
      </c>
      <c r="C498" s="127"/>
      <c r="D498" s="60" t="s">
        <v>314</v>
      </c>
      <c r="E498" s="112">
        <f>+'ORÇ - CONSOLIDADO'!H525</f>
        <v>0</v>
      </c>
      <c r="F498" s="33"/>
      <c r="G498" s="33"/>
      <c r="H498" s="33"/>
      <c r="I498" s="33"/>
      <c r="J498" s="33"/>
      <c r="K498" s="33"/>
      <c r="L498" s="149" t="e">
        <f>+$E498/$E$498/3*100</f>
        <v>#DIV/0!</v>
      </c>
      <c r="M498" s="149" t="e">
        <f>+$E498/$E$498/3*100</f>
        <v>#DIV/0!</v>
      </c>
      <c r="N498" s="33"/>
      <c r="O498" s="33"/>
      <c r="P498" s="149" t="e">
        <f>+$E498/$E$498/3*100</f>
        <v>#DIV/0!</v>
      </c>
      <c r="Q498" s="33"/>
      <c r="R498" s="148" t="e">
        <f t="shared" si="43"/>
        <v>#DIV/0!</v>
      </c>
    </row>
    <row r="499" spans="1:18" ht="15.75">
      <c r="A499" s="50" t="s">
        <v>604</v>
      </c>
      <c r="B499" s="116">
        <v>0</v>
      </c>
      <c r="C499" s="128"/>
      <c r="D499" s="151" t="s">
        <v>791</v>
      </c>
      <c r="E499" s="118">
        <f>+'ORÇ - CONSOLIDADO'!H526</f>
        <v>0</v>
      </c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148">
        <f t="shared" si="43"/>
        <v>0</v>
      </c>
    </row>
    <row r="500" spans="1:18" ht="15.75">
      <c r="A500" s="52" t="s">
        <v>605</v>
      </c>
      <c r="B500" s="51" t="s">
        <v>253</v>
      </c>
      <c r="C500" s="130" t="s">
        <v>439</v>
      </c>
      <c r="D500" s="53" t="e">
        <f>VLOOKUP(C500,#REF!,3,FALSE)</f>
        <v>#REF!</v>
      </c>
      <c r="E500" s="111">
        <f>+'ORÇ - CONSOLIDADO'!H527</f>
        <v>0</v>
      </c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148">
        <f t="shared" si="43"/>
        <v>0</v>
      </c>
    </row>
    <row r="501" spans="1:18" ht="15.75">
      <c r="A501" s="52" t="s">
        <v>606</v>
      </c>
      <c r="B501" s="58" t="s">
        <v>253</v>
      </c>
      <c r="C501" s="133" t="s">
        <v>440</v>
      </c>
      <c r="D501" s="53" t="e">
        <f>VLOOKUP(C501,#REF!,3,FALSE)</f>
        <v>#REF!</v>
      </c>
      <c r="E501" s="111">
        <f>+'ORÇ - CONSOLIDADO'!H528</f>
        <v>0</v>
      </c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148">
        <f t="shared" si="43"/>
        <v>0</v>
      </c>
    </row>
    <row r="502" spans="1:18" ht="15.75">
      <c r="A502" s="52" t="s">
        <v>607</v>
      </c>
      <c r="B502" s="58" t="s">
        <v>253</v>
      </c>
      <c r="C502" s="133" t="s">
        <v>441</v>
      </c>
      <c r="D502" s="53" t="e">
        <f>VLOOKUP(C502,#REF!,3,FALSE)</f>
        <v>#REF!</v>
      </c>
      <c r="E502" s="111" t="e">
        <f>+'ORÇ - CONSOLIDADO'!#REF!</f>
        <v>#REF!</v>
      </c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148">
        <f t="shared" si="43"/>
        <v>0</v>
      </c>
    </row>
    <row r="503" spans="1:18" ht="15.75">
      <c r="A503" s="52" t="s">
        <v>608</v>
      </c>
      <c r="B503" s="58" t="s">
        <v>253</v>
      </c>
      <c r="C503" s="133" t="s">
        <v>442</v>
      </c>
      <c r="D503" s="53" t="e">
        <f>VLOOKUP(C503,#REF!,3,FALSE)</f>
        <v>#REF!</v>
      </c>
      <c r="E503" s="111">
        <f>+'ORÇ - CONSOLIDADO'!H529</f>
        <v>0</v>
      </c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148">
        <f t="shared" si="43"/>
        <v>0</v>
      </c>
    </row>
    <row r="504" spans="1:18" ht="15.75">
      <c r="A504" s="52" t="s">
        <v>609</v>
      </c>
      <c r="B504" s="58" t="s">
        <v>253</v>
      </c>
      <c r="C504" s="133" t="s">
        <v>443</v>
      </c>
      <c r="D504" s="53" t="e">
        <f>VLOOKUP(C504,#REF!,3,FALSE)</f>
        <v>#REF!</v>
      </c>
      <c r="E504" s="111">
        <f>+'ORÇ - CONSOLIDADO'!H530</f>
        <v>0</v>
      </c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148">
        <f t="shared" si="43"/>
        <v>0</v>
      </c>
    </row>
    <row r="505" spans="1:18" ht="15.75">
      <c r="A505" s="52" t="s">
        <v>610</v>
      </c>
      <c r="B505" s="58" t="s">
        <v>253</v>
      </c>
      <c r="C505" s="133" t="s">
        <v>444</v>
      </c>
      <c r="D505" s="53" t="e">
        <f>VLOOKUP(C505,#REF!,3,FALSE)</f>
        <v>#REF!</v>
      </c>
      <c r="E505" s="111">
        <f>+'ORÇ - CONSOLIDADO'!H531</f>
        <v>0</v>
      </c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148">
        <f t="shared" si="43"/>
        <v>0</v>
      </c>
    </row>
    <row r="506" spans="1:18" ht="15.75">
      <c r="A506" s="52" t="s">
        <v>611</v>
      </c>
      <c r="B506" s="58" t="s">
        <v>253</v>
      </c>
      <c r="C506" s="133" t="s">
        <v>445</v>
      </c>
      <c r="D506" s="53" t="e">
        <f>VLOOKUP(C506,#REF!,3,FALSE)</f>
        <v>#REF!</v>
      </c>
      <c r="E506" s="111">
        <f>+'ORÇ - CONSOLIDADO'!H532</f>
        <v>0</v>
      </c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148">
        <f t="shared" si="43"/>
        <v>0</v>
      </c>
    </row>
    <row r="507" spans="1:18" ht="15.75">
      <c r="A507" s="52" t="s">
        <v>612</v>
      </c>
      <c r="B507" s="58" t="s">
        <v>253</v>
      </c>
      <c r="C507" s="133" t="s">
        <v>446</v>
      </c>
      <c r="D507" s="53" t="e">
        <f>VLOOKUP(C507,#REF!,3,FALSE)</f>
        <v>#REF!</v>
      </c>
      <c r="E507" s="111">
        <f>+'ORÇ - CONSOLIDADO'!H533</f>
        <v>0</v>
      </c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148">
        <f t="shared" si="43"/>
        <v>0</v>
      </c>
    </row>
    <row r="508" spans="1:18" ht="15.75">
      <c r="A508" s="52" t="s">
        <v>613</v>
      </c>
      <c r="B508" s="58" t="s">
        <v>253</v>
      </c>
      <c r="C508" s="133" t="s">
        <v>447</v>
      </c>
      <c r="D508" s="53" t="e">
        <f>VLOOKUP(C508,#REF!,3,FALSE)</f>
        <v>#REF!</v>
      </c>
      <c r="E508" s="111">
        <f>+'ORÇ - CONSOLIDADO'!H534</f>
        <v>0</v>
      </c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148">
        <f t="shared" si="43"/>
        <v>0</v>
      </c>
    </row>
    <row r="509" spans="1:18" ht="15.75">
      <c r="A509" s="52"/>
      <c r="B509" s="55">
        <v>0</v>
      </c>
      <c r="C509" s="129">
        <v>0</v>
      </c>
      <c r="D509" s="55">
        <v>0</v>
      </c>
      <c r="E509" s="111">
        <f>+'ORÇ - CONSOLIDADO'!H535</f>
        <v>0</v>
      </c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148">
        <f t="shared" si="43"/>
        <v>0</v>
      </c>
    </row>
    <row r="510" spans="1:18" ht="15.75">
      <c r="A510" s="59" t="s">
        <v>301</v>
      </c>
      <c r="B510" s="60">
        <v>0</v>
      </c>
      <c r="C510" s="127">
        <v>0</v>
      </c>
      <c r="D510" s="60" t="s">
        <v>1018</v>
      </c>
      <c r="E510" s="112">
        <f>+'ORÇ - CONSOLIDADO'!H536</f>
        <v>0</v>
      </c>
      <c r="F510" s="149" t="e">
        <f>+$E510/$E$510/12*100</f>
        <v>#DIV/0!</v>
      </c>
      <c r="G510" s="149" t="e">
        <f aca="true" t="shared" si="44" ref="G510:Q510">+$E510/$E$510/12*100</f>
        <v>#DIV/0!</v>
      </c>
      <c r="H510" s="149" t="e">
        <f t="shared" si="44"/>
        <v>#DIV/0!</v>
      </c>
      <c r="I510" s="149" t="e">
        <f t="shared" si="44"/>
        <v>#DIV/0!</v>
      </c>
      <c r="J510" s="149" t="e">
        <f t="shared" si="44"/>
        <v>#DIV/0!</v>
      </c>
      <c r="K510" s="149" t="e">
        <f t="shared" si="44"/>
        <v>#DIV/0!</v>
      </c>
      <c r="L510" s="149" t="e">
        <f t="shared" si="44"/>
        <v>#DIV/0!</v>
      </c>
      <c r="M510" s="149" t="e">
        <f t="shared" si="44"/>
        <v>#DIV/0!</v>
      </c>
      <c r="N510" s="149" t="e">
        <f t="shared" si="44"/>
        <v>#DIV/0!</v>
      </c>
      <c r="O510" s="149" t="e">
        <f t="shared" si="44"/>
        <v>#DIV/0!</v>
      </c>
      <c r="P510" s="149" t="e">
        <f t="shared" si="44"/>
        <v>#DIV/0!</v>
      </c>
      <c r="Q510" s="149" t="e">
        <f t="shared" si="44"/>
        <v>#DIV/0!</v>
      </c>
      <c r="R510" s="148" t="e">
        <f t="shared" si="43"/>
        <v>#DIV/0!</v>
      </c>
    </row>
    <row r="511" spans="1:18" ht="15.75">
      <c r="A511" s="50" t="s">
        <v>614</v>
      </c>
      <c r="B511" s="116">
        <v>0</v>
      </c>
      <c r="C511" s="128">
        <v>0</v>
      </c>
      <c r="D511" s="117" t="s">
        <v>1019</v>
      </c>
      <c r="E511" s="118">
        <f>+'ORÇ - CONSOLIDADO'!H537</f>
        <v>0</v>
      </c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148">
        <f t="shared" si="43"/>
        <v>0</v>
      </c>
    </row>
    <row r="512" spans="1:18" ht="31.5">
      <c r="A512" s="52" t="s">
        <v>615</v>
      </c>
      <c r="B512" s="66" t="s">
        <v>1020</v>
      </c>
      <c r="C512" s="137" t="s">
        <v>695</v>
      </c>
      <c r="D512" s="53" t="s">
        <v>1021</v>
      </c>
      <c r="E512" s="115">
        <f>+'ORÇ - CONSOLIDADO'!H538</f>
        <v>0</v>
      </c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148">
        <f t="shared" si="43"/>
        <v>0</v>
      </c>
    </row>
    <row r="513" spans="1:18" ht="15.75">
      <c r="A513" s="52"/>
      <c r="B513" s="55">
        <v>0</v>
      </c>
      <c r="C513" s="129">
        <v>0</v>
      </c>
      <c r="D513" s="55">
        <v>0</v>
      </c>
      <c r="E513" s="111">
        <f>+'ORÇ - CONSOLIDADO'!H539</f>
        <v>0</v>
      </c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148">
        <f t="shared" si="43"/>
        <v>0</v>
      </c>
    </row>
    <row r="514" spans="1:18" ht="15.75">
      <c r="A514" s="59" t="s">
        <v>302</v>
      </c>
      <c r="B514" s="60">
        <v>0</v>
      </c>
      <c r="C514" s="127">
        <v>0</v>
      </c>
      <c r="D514" s="60" t="s">
        <v>282</v>
      </c>
      <c r="E514" s="112">
        <f>+'ORÇ - CONSOLIDADO'!H540</f>
        <v>0</v>
      </c>
      <c r="F514" s="149" t="e">
        <f>SUM(F516:F520)</f>
        <v>#DIV/0!</v>
      </c>
      <c r="G514" s="149" t="e">
        <f aca="true" t="shared" si="45" ref="G514:Q514">SUM(G516:G520)</f>
        <v>#DIV/0!</v>
      </c>
      <c r="H514" s="149" t="e">
        <f t="shared" si="45"/>
        <v>#DIV/0!</v>
      </c>
      <c r="I514" s="149" t="e">
        <f t="shared" si="45"/>
        <v>#DIV/0!</v>
      </c>
      <c r="J514" s="149" t="e">
        <f t="shared" si="45"/>
        <v>#DIV/0!</v>
      </c>
      <c r="K514" s="149" t="e">
        <f t="shared" si="45"/>
        <v>#DIV/0!</v>
      </c>
      <c r="L514" s="149" t="e">
        <f t="shared" si="45"/>
        <v>#DIV/0!</v>
      </c>
      <c r="M514" s="149" t="e">
        <f t="shared" si="45"/>
        <v>#DIV/0!</v>
      </c>
      <c r="N514" s="149" t="e">
        <f t="shared" si="45"/>
        <v>#DIV/0!</v>
      </c>
      <c r="O514" s="149" t="e">
        <f t="shared" si="45"/>
        <v>#DIV/0!</v>
      </c>
      <c r="P514" s="149" t="e">
        <f t="shared" si="45"/>
        <v>#DIV/0!</v>
      </c>
      <c r="Q514" s="149" t="e">
        <f t="shared" si="45"/>
        <v>#DIV/0!</v>
      </c>
      <c r="R514" s="148" t="e">
        <f t="shared" si="43"/>
        <v>#DIV/0!</v>
      </c>
    </row>
    <row r="515" spans="1:18" ht="15.75">
      <c r="A515" s="50" t="s">
        <v>1050</v>
      </c>
      <c r="B515" s="116">
        <v>0</v>
      </c>
      <c r="C515" s="128">
        <v>0</v>
      </c>
      <c r="D515" s="117" t="s">
        <v>281</v>
      </c>
      <c r="E515" s="118">
        <f>+'ORÇ - CONSOLIDADO'!H541</f>
        <v>0</v>
      </c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148">
        <f t="shared" si="43"/>
        <v>0</v>
      </c>
    </row>
    <row r="516" spans="1:18" ht="15.75">
      <c r="A516" s="52" t="s">
        <v>1051</v>
      </c>
      <c r="B516" s="66" t="s">
        <v>267</v>
      </c>
      <c r="C516" s="137">
        <v>2708</v>
      </c>
      <c r="D516" s="53" t="e">
        <f>VLOOKUP(C516,#REF!,3,FALSE)</f>
        <v>#REF!</v>
      </c>
      <c r="E516" s="115">
        <f>+'ORÇ - CONSOLIDADO'!H542</f>
        <v>0</v>
      </c>
      <c r="F516" s="149" t="e">
        <f>+$E516/$E$514/12*100</f>
        <v>#DIV/0!</v>
      </c>
      <c r="G516" s="149" t="e">
        <f aca="true" t="shared" si="46" ref="G516:Q519">+$E516/$E$514/12*100</f>
        <v>#DIV/0!</v>
      </c>
      <c r="H516" s="149" t="e">
        <f t="shared" si="46"/>
        <v>#DIV/0!</v>
      </c>
      <c r="I516" s="149" t="e">
        <f t="shared" si="46"/>
        <v>#DIV/0!</v>
      </c>
      <c r="J516" s="149" t="e">
        <f t="shared" si="46"/>
        <v>#DIV/0!</v>
      </c>
      <c r="K516" s="149" t="e">
        <f t="shared" si="46"/>
        <v>#DIV/0!</v>
      </c>
      <c r="L516" s="149" t="e">
        <f t="shared" si="46"/>
        <v>#DIV/0!</v>
      </c>
      <c r="M516" s="149" t="e">
        <f t="shared" si="46"/>
        <v>#DIV/0!</v>
      </c>
      <c r="N516" s="149" t="e">
        <f t="shared" si="46"/>
        <v>#DIV/0!</v>
      </c>
      <c r="O516" s="149" t="e">
        <f t="shared" si="46"/>
        <v>#DIV/0!</v>
      </c>
      <c r="P516" s="149" t="e">
        <f t="shared" si="46"/>
        <v>#DIV/0!</v>
      </c>
      <c r="Q516" s="149" t="e">
        <f t="shared" si="46"/>
        <v>#DIV/0!</v>
      </c>
      <c r="R516" s="148" t="e">
        <f t="shared" si="43"/>
        <v>#DIV/0!</v>
      </c>
    </row>
    <row r="517" spans="1:18" ht="15.75">
      <c r="A517" s="52" t="s">
        <v>1052</v>
      </c>
      <c r="B517" s="55" t="s">
        <v>333</v>
      </c>
      <c r="C517" s="129">
        <v>90780</v>
      </c>
      <c r="D517" s="53" t="e">
        <f>VLOOKUP(C517,#REF!,3,FALSE)</f>
        <v>#REF!</v>
      </c>
      <c r="E517" s="115">
        <f>+'ORÇ - CONSOLIDADO'!H543</f>
        <v>0</v>
      </c>
      <c r="F517" s="149" t="e">
        <f>+$E517/$E$514/12*100</f>
        <v>#DIV/0!</v>
      </c>
      <c r="G517" s="149" t="e">
        <f t="shared" si="46"/>
        <v>#DIV/0!</v>
      </c>
      <c r="H517" s="149" t="e">
        <f t="shared" si="46"/>
        <v>#DIV/0!</v>
      </c>
      <c r="I517" s="149" t="e">
        <f t="shared" si="46"/>
        <v>#DIV/0!</v>
      </c>
      <c r="J517" s="149" t="e">
        <f t="shared" si="46"/>
        <v>#DIV/0!</v>
      </c>
      <c r="K517" s="149" t="e">
        <f t="shared" si="46"/>
        <v>#DIV/0!</v>
      </c>
      <c r="L517" s="149" t="e">
        <f t="shared" si="46"/>
        <v>#DIV/0!</v>
      </c>
      <c r="M517" s="149" t="e">
        <f t="shared" si="46"/>
        <v>#DIV/0!</v>
      </c>
      <c r="N517" s="149" t="e">
        <f t="shared" si="46"/>
        <v>#DIV/0!</v>
      </c>
      <c r="O517" s="149" t="e">
        <f t="shared" si="46"/>
        <v>#DIV/0!</v>
      </c>
      <c r="P517" s="149" t="e">
        <f t="shared" si="46"/>
        <v>#DIV/0!</v>
      </c>
      <c r="Q517" s="149" t="e">
        <f t="shared" si="46"/>
        <v>#DIV/0!</v>
      </c>
      <c r="R517" s="148" t="e">
        <f t="shared" si="43"/>
        <v>#DIV/0!</v>
      </c>
    </row>
    <row r="518" spans="1:18" ht="15.75">
      <c r="A518" s="52"/>
      <c r="B518" s="55">
        <v>0</v>
      </c>
      <c r="C518" s="129">
        <v>90776</v>
      </c>
      <c r="D518" s="53" t="e">
        <f>VLOOKUP(C518,#REF!,3,FALSE)</f>
        <v>#REF!</v>
      </c>
      <c r="E518" s="115">
        <f>+'ORÇ - CONSOLIDADO'!H544</f>
        <v>0</v>
      </c>
      <c r="F518" s="149" t="e">
        <f>+$E518/$E$514/12*100</f>
        <v>#DIV/0!</v>
      </c>
      <c r="G518" s="149" t="e">
        <f t="shared" si="46"/>
        <v>#DIV/0!</v>
      </c>
      <c r="H518" s="149" t="e">
        <f t="shared" si="46"/>
        <v>#DIV/0!</v>
      </c>
      <c r="I518" s="149" t="e">
        <f t="shared" si="46"/>
        <v>#DIV/0!</v>
      </c>
      <c r="J518" s="149" t="e">
        <f t="shared" si="46"/>
        <v>#DIV/0!</v>
      </c>
      <c r="K518" s="149" t="e">
        <f t="shared" si="46"/>
        <v>#DIV/0!</v>
      </c>
      <c r="L518" s="149" t="e">
        <f t="shared" si="46"/>
        <v>#DIV/0!</v>
      </c>
      <c r="M518" s="149" t="e">
        <f t="shared" si="46"/>
        <v>#DIV/0!</v>
      </c>
      <c r="N518" s="149" t="e">
        <f t="shared" si="46"/>
        <v>#DIV/0!</v>
      </c>
      <c r="O518" s="149" t="e">
        <f t="shared" si="46"/>
        <v>#DIV/0!</v>
      </c>
      <c r="P518" s="149" t="e">
        <f t="shared" si="46"/>
        <v>#DIV/0!</v>
      </c>
      <c r="Q518" s="149" t="e">
        <f t="shared" si="46"/>
        <v>#DIV/0!</v>
      </c>
      <c r="R518" s="148" t="e">
        <f>SUM(F518:Q518)</f>
        <v>#DIV/0!</v>
      </c>
    </row>
    <row r="519" spans="1:18" ht="15.75">
      <c r="A519" s="52"/>
      <c r="B519" s="55">
        <v>0</v>
      </c>
      <c r="C519" s="129">
        <v>90766</v>
      </c>
      <c r="D519" s="53" t="e">
        <f>VLOOKUP(C519,#REF!,3,FALSE)</f>
        <v>#REF!</v>
      </c>
      <c r="E519" s="115">
        <f>+'ORÇ - CONSOLIDADO'!H545</f>
        <v>0</v>
      </c>
      <c r="F519" s="149" t="e">
        <f>+$E519/$E$514/12*100</f>
        <v>#DIV/0!</v>
      </c>
      <c r="G519" s="149" t="e">
        <f t="shared" si="46"/>
        <v>#DIV/0!</v>
      </c>
      <c r="H519" s="149" t="e">
        <f t="shared" si="46"/>
        <v>#DIV/0!</v>
      </c>
      <c r="I519" s="149" t="e">
        <f t="shared" si="46"/>
        <v>#DIV/0!</v>
      </c>
      <c r="J519" s="149" t="e">
        <f t="shared" si="46"/>
        <v>#DIV/0!</v>
      </c>
      <c r="K519" s="149" t="e">
        <f t="shared" si="46"/>
        <v>#DIV/0!</v>
      </c>
      <c r="L519" s="149" t="e">
        <f t="shared" si="46"/>
        <v>#DIV/0!</v>
      </c>
      <c r="M519" s="149" t="e">
        <f t="shared" si="46"/>
        <v>#DIV/0!</v>
      </c>
      <c r="N519" s="149" t="e">
        <f t="shared" si="46"/>
        <v>#DIV/0!</v>
      </c>
      <c r="O519" s="149" t="e">
        <f t="shared" si="46"/>
        <v>#DIV/0!</v>
      </c>
      <c r="P519" s="149" t="e">
        <f t="shared" si="46"/>
        <v>#DIV/0!</v>
      </c>
      <c r="Q519" s="149" t="e">
        <f t="shared" si="46"/>
        <v>#DIV/0!</v>
      </c>
      <c r="R519" s="148" t="e">
        <f>SUM(F519:Q519)</f>
        <v>#DIV/0!</v>
      </c>
    </row>
    <row r="520" spans="1:18" ht="15.75">
      <c r="A520" s="52"/>
      <c r="B520" s="55">
        <v>0</v>
      </c>
      <c r="C520" s="129">
        <v>88286</v>
      </c>
      <c r="D520" s="53" t="e">
        <f>VLOOKUP(C520,#REF!,3,FALSE)</f>
        <v>#REF!</v>
      </c>
      <c r="E520" s="115">
        <f>+'ORÇ - CONSOLIDADO'!H546</f>
        <v>0</v>
      </c>
      <c r="F520" s="149"/>
      <c r="G520" s="149" t="e">
        <f>+$E520/$E$514/3*100</f>
        <v>#DIV/0!</v>
      </c>
      <c r="H520" s="149" t="e">
        <f>+$E520/$E$514/3*100</f>
        <v>#DIV/0!</v>
      </c>
      <c r="I520" s="149" t="e">
        <f>+$E520/$E$514/3*100</f>
        <v>#DIV/0!</v>
      </c>
      <c r="J520" s="33"/>
      <c r="K520" s="33"/>
      <c r="L520" s="33"/>
      <c r="M520" s="33"/>
      <c r="N520" s="33"/>
      <c r="O520" s="33"/>
      <c r="P520" s="33"/>
      <c r="Q520" s="33"/>
      <c r="R520" s="148" t="e">
        <f>SUM(F520:Q520)</f>
        <v>#DIV/0!</v>
      </c>
    </row>
    <row r="521" spans="1:18" ht="15.75">
      <c r="A521" s="52"/>
      <c r="B521" s="55">
        <v>0</v>
      </c>
      <c r="C521" s="129">
        <v>0</v>
      </c>
      <c r="D521" s="55">
        <v>0</v>
      </c>
      <c r="E521" s="111">
        <f>+'ORÇ - CONSOLIDADO'!H547</f>
        <v>0</v>
      </c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148">
        <f t="shared" si="43"/>
        <v>0</v>
      </c>
    </row>
    <row r="522" spans="1:18" ht="15.75">
      <c r="A522" s="59" t="s">
        <v>306</v>
      </c>
      <c r="B522" s="60">
        <v>0</v>
      </c>
      <c r="C522" s="127">
        <v>0</v>
      </c>
      <c r="D522" s="60" t="s">
        <v>283</v>
      </c>
      <c r="E522" s="112">
        <f>SUBTOTAL(9,E523:E528)</f>
        <v>204800.71044331428</v>
      </c>
      <c r="F522" s="149">
        <f>SUM(F524:F527)</f>
        <v>8.333333333333334</v>
      </c>
      <c r="G522" s="149">
        <f aca="true" t="shared" si="47" ref="G522:Q522">SUM(G524:G527)</f>
        <v>8.333333333333334</v>
      </c>
      <c r="H522" s="149">
        <f t="shared" si="47"/>
        <v>8.333333333333334</v>
      </c>
      <c r="I522" s="149">
        <f t="shared" si="47"/>
        <v>8.333333333333334</v>
      </c>
      <c r="J522" s="149">
        <f t="shared" si="47"/>
        <v>8.333333333333334</v>
      </c>
      <c r="K522" s="149">
        <f t="shared" si="47"/>
        <v>8.333333333333334</v>
      </c>
      <c r="L522" s="149">
        <f t="shared" si="47"/>
        <v>8.333333333333334</v>
      </c>
      <c r="M522" s="149">
        <f t="shared" si="47"/>
        <v>8.333333333333334</v>
      </c>
      <c r="N522" s="149">
        <f t="shared" si="47"/>
        <v>8.333333333333334</v>
      </c>
      <c r="O522" s="149">
        <f t="shared" si="47"/>
        <v>8.333333333333334</v>
      </c>
      <c r="P522" s="149">
        <f t="shared" si="47"/>
        <v>8.333333333333334</v>
      </c>
      <c r="Q522" s="149">
        <f t="shared" si="47"/>
        <v>8.333333333333334</v>
      </c>
      <c r="R522" s="148">
        <f t="shared" si="43"/>
        <v>99.99999999999999</v>
      </c>
    </row>
    <row r="523" spans="1:18" ht="15.75">
      <c r="A523" s="50" t="s">
        <v>1053</v>
      </c>
      <c r="B523" s="116">
        <v>0</v>
      </c>
      <c r="C523" s="128" t="s">
        <v>323</v>
      </c>
      <c r="D523" s="151" t="e">
        <f>VLOOKUP(C523,#REF!,3,FALSE)</f>
        <v>#REF!</v>
      </c>
      <c r="E523" s="118">
        <f>SUBTOTAL(9,E524:E527)</f>
        <v>204800.71044331428</v>
      </c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148">
        <f t="shared" si="43"/>
        <v>0</v>
      </c>
    </row>
    <row r="524" spans="1:18" ht="15.75">
      <c r="A524" s="52" t="s">
        <v>1054</v>
      </c>
      <c r="B524" s="55" t="s">
        <v>253</v>
      </c>
      <c r="C524" s="129" t="s">
        <v>79</v>
      </c>
      <c r="D524" s="53" t="e">
        <f>VLOOKUP(C524,#REF!,3,FALSE)</f>
        <v>#REF!</v>
      </c>
      <c r="E524" s="111">
        <f>+'ORÇ - CONSOLIDADO'!H550</f>
        <v>0</v>
      </c>
      <c r="F524" s="149"/>
      <c r="G524" s="149"/>
      <c r="H524" s="149"/>
      <c r="I524" s="149"/>
      <c r="J524" s="149"/>
      <c r="K524" s="149">
        <f>+$E524/$E$522/4*100</f>
        <v>0</v>
      </c>
      <c r="L524" s="149">
        <f aca="true" t="shared" si="48" ref="L524:Q524">+$E524/$E$522/4*100</f>
        <v>0</v>
      </c>
      <c r="M524" s="149"/>
      <c r="N524" s="149"/>
      <c r="O524" s="149"/>
      <c r="P524" s="149">
        <f t="shared" si="48"/>
        <v>0</v>
      </c>
      <c r="Q524" s="149">
        <f t="shared" si="48"/>
        <v>0</v>
      </c>
      <c r="R524" s="148">
        <f aca="true" t="shared" si="49" ref="R524:R532">SUM(F524:Q524)</f>
        <v>0</v>
      </c>
    </row>
    <row r="525" spans="1:18" ht="25.5">
      <c r="A525" s="52" t="s">
        <v>1142</v>
      </c>
      <c r="B525" s="55" t="s">
        <v>1143</v>
      </c>
      <c r="C525" s="201" t="s">
        <v>1058</v>
      </c>
      <c r="D525" s="53" t="s">
        <v>1144</v>
      </c>
      <c r="E525" s="111">
        <v>110480.9206211421</v>
      </c>
      <c r="F525" s="149">
        <f>+$E525/$E$522/12*100</f>
        <v>4.495464573909992</v>
      </c>
      <c r="G525" s="149">
        <f aca="true" t="shared" si="50" ref="G525:Q527">+$E525/$E$522/12*100</f>
        <v>4.495464573909992</v>
      </c>
      <c r="H525" s="149">
        <f t="shared" si="50"/>
        <v>4.495464573909992</v>
      </c>
      <c r="I525" s="149">
        <f t="shared" si="50"/>
        <v>4.495464573909992</v>
      </c>
      <c r="J525" s="149">
        <f t="shared" si="50"/>
        <v>4.495464573909992</v>
      </c>
      <c r="K525" s="149">
        <f t="shared" si="50"/>
        <v>4.495464573909992</v>
      </c>
      <c r="L525" s="149">
        <f t="shared" si="50"/>
        <v>4.495464573909992</v>
      </c>
      <c r="M525" s="149">
        <f t="shared" si="50"/>
        <v>4.495464573909992</v>
      </c>
      <c r="N525" s="149">
        <f t="shared" si="50"/>
        <v>4.495464573909992</v>
      </c>
      <c r="O525" s="149">
        <f t="shared" si="50"/>
        <v>4.495464573909992</v>
      </c>
      <c r="P525" s="149">
        <f t="shared" si="50"/>
        <v>4.495464573909992</v>
      </c>
      <c r="Q525" s="149">
        <f t="shared" si="50"/>
        <v>4.495464573909992</v>
      </c>
      <c r="R525" s="148">
        <f>SUM(F525:Q525)</f>
        <v>53.9455748869199</v>
      </c>
    </row>
    <row r="526" spans="1:18" ht="15.75">
      <c r="A526" s="52" t="s">
        <v>1145</v>
      </c>
      <c r="B526" s="51" t="s">
        <v>253</v>
      </c>
      <c r="C526" s="130" t="s">
        <v>189</v>
      </c>
      <c r="D526" s="53" t="e">
        <f>VLOOKUP(C526,#REF!,3,FALSE)</f>
        <v>#REF!</v>
      </c>
      <c r="E526" s="113">
        <v>25054.064180732665</v>
      </c>
      <c r="F526" s="149">
        <f>+$E526/$E$522/12*100</f>
        <v>1.0194489448832278</v>
      </c>
      <c r="G526" s="149">
        <f t="shared" si="50"/>
        <v>1.0194489448832278</v>
      </c>
      <c r="H526" s="149">
        <f t="shared" si="50"/>
        <v>1.0194489448832278</v>
      </c>
      <c r="I526" s="149">
        <f t="shared" si="50"/>
        <v>1.0194489448832278</v>
      </c>
      <c r="J526" s="149">
        <f t="shared" si="50"/>
        <v>1.0194489448832278</v>
      </c>
      <c r="K526" s="149">
        <f t="shared" si="50"/>
        <v>1.0194489448832278</v>
      </c>
      <c r="L526" s="149">
        <f t="shared" si="50"/>
        <v>1.0194489448832278</v>
      </c>
      <c r="M526" s="149">
        <f t="shared" si="50"/>
        <v>1.0194489448832278</v>
      </c>
      <c r="N526" s="149">
        <f t="shared" si="50"/>
        <v>1.0194489448832278</v>
      </c>
      <c r="O526" s="149">
        <f t="shared" si="50"/>
        <v>1.0194489448832278</v>
      </c>
      <c r="P526" s="149">
        <f t="shared" si="50"/>
        <v>1.0194489448832278</v>
      </c>
      <c r="Q526" s="149">
        <f t="shared" si="50"/>
        <v>1.0194489448832278</v>
      </c>
      <c r="R526" s="148">
        <f>SUM(F526:Q526)</f>
        <v>12.233387338598737</v>
      </c>
    </row>
    <row r="527" spans="1:18" ht="15.75">
      <c r="A527" s="52" t="s">
        <v>1146</v>
      </c>
      <c r="B527" s="58" t="s">
        <v>253</v>
      </c>
      <c r="C527" s="133" t="s">
        <v>187</v>
      </c>
      <c r="D527" s="53" t="e">
        <f>VLOOKUP(C527,#REF!,3,FALSE)</f>
        <v>#REF!</v>
      </c>
      <c r="E527" s="113">
        <v>69265.72564143954</v>
      </c>
      <c r="F527" s="149">
        <f>+$E527/$E$522/12*100</f>
        <v>2.8184198145401145</v>
      </c>
      <c r="G527" s="149">
        <f t="shared" si="50"/>
        <v>2.8184198145401145</v>
      </c>
      <c r="H527" s="149">
        <f t="shared" si="50"/>
        <v>2.8184198145401145</v>
      </c>
      <c r="I527" s="149">
        <f t="shared" si="50"/>
        <v>2.8184198145401145</v>
      </c>
      <c r="J527" s="149">
        <f t="shared" si="50"/>
        <v>2.8184198145401145</v>
      </c>
      <c r="K527" s="149">
        <f t="shared" si="50"/>
        <v>2.8184198145401145</v>
      </c>
      <c r="L527" s="149">
        <f t="shared" si="50"/>
        <v>2.8184198145401145</v>
      </c>
      <c r="M527" s="149">
        <f t="shared" si="50"/>
        <v>2.8184198145401145</v>
      </c>
      <c r="N527" s="149">
        <f t="shared" si="50"/>
        <v>2.8184198145401145</v>
      </c>
      <c r="O527" s="149">
        <f t="shared" si="50"/>
        <v>2.8184198145401145</v>
      </c>
      <c r="P527" s="149">
        <f t="shared" si="50"/>
        <v>2.8184198145401145</v>
      </c>
      <c r="Q527" s="149">
        <f t="shared" si="50"/>
        <v>2.8184198145401145</v>
      </c>
      <c r="R527" s="148">
        <f>SUM(F527:Q527)</f>
        <v>33.821037774481375</v>
      </c>
    </row>
    <row r="528" spans="1:18" ht="15.75">
      <c r="A528" s="52"/>
      <c r="B528" s="55"/>
      <c r="C528" s="129"/>
      <c r="D528" s="55"/>
      <c r="E528" s="111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148">
        <f>SUM(F528:Q528)</f>
        <v>0</v>
      </c>
    </row>
    <row r="529" spans="1:18" ht="15.75">
      <c r="A529" s="52"/>
      <c r="B529" s="55"/>
      <c r="C529" s="129"/>
      <c r="D529" s="55"/>
      <c r="E529" s="111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148">
        <f>SUM(F529:Q529)</f>
        <v>0</v>
      </c>
    </row>
    <row r="530" spans="1:18" ht="15.75">
      <c r="A530" s="52"/>
      <c r="B530" s="55"/>
      <c r="C530" s="129"/>
      <c r="D530" s="55"/>
      <c r="E530" s="111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148">
        <f t="shared" si="49"/>
        <v>0</v>
      </c>
    </row>
    <row r="531" spans="1:18" ht="15.75">
      <c r="A531" s="52"/>
      <c r="B531" s="55"/>
      <c r="C531" s="129"/>
      <c r="D531" s="55"/>
      <c r="E531" s="111">
        <f>+'ORÇ - CONSOLIDADO'!H554</f>
        <v>0</v>
      </c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148">
        <f t="shared" si="49"/>
        <v>0</v>
      </c>
    </row>
    <row r="532" spans="1:18" ht="15.75">
      <c r="A532" s="59"/>
      <c r="B532" s="60"/>
      <c r="C532" s="127"/>
      <c r="D532" s="60" t="s">
        <v>9</v>
      </c>
      <c r="E532" s="112">
        <f>+'ORÇ - CONSOLIDADO'!H555</f>
        <v>0</v>
      </c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148">
        <f t="shared" si="49"/>
        <v>0</v>
      </c>
    </row>
    <row r="533" spans="1:5" ht="16.5" thickBot="1">
      <c r="A533" s="67"/>
      <c r="B533" s="68"/>
      <c r="C533" s="138"/>
      <c r="D533" s="53">
        <f>+'ORÇ - CONSOLIDADO'!B556</f>
        <v>0</v>
      </c>
      <c r="E533" s="80">
        <f>SUM(E194:E195)</f>
        <v>0</v>
      </c>
    </row>
  </sheetData>
  <sheetProtection/>
  <conditionalFormatting sqref="D515">
    <cfRule type="expression" priority="489" dxfId="0" stopIfTrue="1">
      <formula>J515&lt;6</formula>
    </cfRule>
  </conditionalFormatting>
  <conditionalFormatting sqref="D27">
    <cfRule type="expression" priority="488" dxfId="0" stopIfTrue="1">
      <formula>J27&lt;6</formula>
    </cfRule>
  </conditionalFormatting>
  <conditionalFormatting sqref="D158">
    <cfRule type="expression" priority="490" dxfId="0" stopIfTrue="1">
      <formula>J158&lt;6</formula>
    </cfRule>
  </conditionalFormatting>
  <conditionalFormatting sqref="D177">
    <cfRule type="expression" priority="491" dxfId="0" stopIfTrue="1">
      <formula>J177&lt;6</formula>
    </cfRule>
  </conditionalFormatting>
  <conditionalFormatting sqref="D153">
    <cfRule type="expression" priority="487" dxfId="0" stopIfTrue="1">
      <formula>J153&lt;6</formula>
    </cfRule>
  </conditionalFormatting>
  <conditionalFormatting sqref="D148">
    <cfRule type="expression" priority="486" dxfId="0" stopIfTrue="1">
      <formula>J148&lt;6</formula>
    </cfRule>
  </conditionalFormatting>
  <conditionalFormatting sqref="D181">
    <cfRule type="expression" priority="484" dxfId="0" stopIfTrue="1">
      <formula>J181&lt;6</formula>
    </cfRule>
  </conditionalFormatting>
  <conditionalFormatting sqref="D185">
    <cfRule type="expression" priority="483" dxfId="0" stopIfTrue="1">
      <formula>J185&lt;6</formula>
    </cfRule>
  </conditionalFormatting>
  <conditionalFormatting sqref="D189">
    <cfRule type="expression" priority="482" dxfId="0" stopIfTrue="1">
      <formula>J189&lt;6</formula>
    </cfRule>
  </conditionalFormatting>
  <conditionalFormatting sqref="D164">
    <cfRule type="expression" priority="480" dxfId="0" stopIfTrue="1">
      <formula>J164&lt;6</formula>
    </cfRule>
  </conditionalFormatting>
  <conditionalFormatting sqref="D170">
    <cfRule type="expression" priority="479" dxfId="0" stopIfTrue="1">
      <formula>J170&lt;6</formula>
    </cfRule>
  </conditionalFormatting>
  <conditionalFormatting sqref="D193">
    <cfRule type="expression" priority="478" dxfId="0" stopIfTrue="1">
      <formula>J193&lt;6</formula>
    </cfRule>
  </conditionalFormatting>
  <conditionalFormatting sqref="D511">
    <cfRule type="expression" priority="477" dxfId="0" stopIfTrue="1">
      <formula>J511&lt;6</formula>
    </cfRule>
  </conditionalFormatting>
  <conditionalFormatting sqref="D352">
    <cfRule type="expression" priority="476" dxfId="0" stopIfTrue="1">
      <formula>G352&lt;6</formula>
    </cfRule>
  </conditionalFormatting>
  <conditionalFormatting sqref="D353">
    <cfRule type="expression" priority="475" dxfId="0" stopIfTrue="1">
      <formula>G353&lt;6</formula>
    </cfRule>
  </conditionalFormatting>
  <conditionalFormatting sqref="D357">
    <cfRule type="expression" priority="474" dxfId="0" stopIfTrue="1">
      <formula>G357&lt;6</formula>
    </cfRule>
  </conditionalFormatting>
  <conditionalFormatting sqref="D364">
    <cfRule type="expression" priority="473" dxfId="0" stopIfTrue="1">
      <formula>G364&lt;6</formula>
    </cfRule>
  </conditionalFormatting>
  <conditionalFormatting sqref="C20 C41:C42 C23:C24 B395:B397 C79 A75:A79 A377:A378 A275:A350 B398:C398 A392:A399">
    <cfRule type="expression" priority="468" dxfId="0" stopIfTrue="1">
      <formula>G20&lt;6</formula>
    </cfRule>
  </conditionalFormatting>
  <conditionalFormatting sqref="C76">
    <cfRule type="expression" priority="467" dxfId="0" stopIfTrue="1">
      <formula>I76&lt;6</formula>
    </cfRule>
  </conditionalFormatting>
  <conditionalFormatting sqref="C62">
    <cfRule type="expression" priority="454" dxfId="0" stopIfTrue="1">
      <formula>I62&lt;6</formula>
    </cfRule>
  </conditionalFormatting>
  <conditionalFormatting sqref="C149">
    <cfRule type="expression" priority="466" dxfId="0" stopIfTrue="1">
      <formula>I149&lt;6</formula>
    </cfRule>
  </conditionalFormatting>
  <conditionalFormatting sqref="C63">
    <cfRule type="expression" priority="453" dxfId="0" stopIfTrue="1">
      <formula>I63&lt;6</formula>
    </cfRule>
  </conditionalFormatting>
  <conditionalFormatting sqref="B41">
    <cfRule type="expression" priority="420" dxfId="0" stopIfTrue="1">
      <formula>H41&lt;6</formula>
    </cfRule>
  </conditionalFormatting>
  <conditionalFormatting sqref="C154">
    <cfRule type="expression" priority="449" dxfId="0" stopIfTrue="1">
      <formula>I154&lt;6</formula>
    </cfRule>
  </conditionalFormatting>
  <conditionalFormatting sqref="C38">
    <cfRule type="expression" priority="465" dxfId="0" stopIfTrue="1">
      <formula>I38&lt;6</formula>
    </cfRule>
  </conditionalFormatting>
  <conditionalFormatting sqref="C39">
    <cfRule type="expression" priority="464" dxfId="0" stopIfTrue="1">
      <formula>I39&lt;6</formula>
    </cfRule>
  </conditionalFormatting>
  <conditionalFormatting sqref="C211">
    <cfRule type="expression" priority="463" dxfId="0" stopIfTrue="1">
      <formula>I211&lt;6</formula>
    </cfRule>
  </conditionalFormatting>
  <conditionalFormatting sqref="C224">
    <cfRule type="expression" priority="462" dxfId="0" stopIfTrue="1">
      <formula>I224&lt;6</formula>
    </cfRule>
  </conditionalFormatting>
  <conditionalFormatting sqref="C226">
    <cfRule type="expression" priority="460" dxfId="0" stopIfTrue="1">
      <formula>I226&lt;6</formula>
    </cfRule>
  </conditionalFormatting>
  <conditionalFormatting sqref="C225">
    <cfRule type="expression" priority="461" dxfId="0" stopIfTrue="1">
      <formula>I225&lt;6</formula>
    </cfRule>
  </conditionalFormatting>
  <conditionalFormatting sqref="C159">
    <cfRule type="expression" priority="448" dxfId="0" stopIfTrue="1">
      <formula>I159&lt;6</formula>
    </cfRule>
  </conditionalFormatting>
  <conditionalFormatting sqref="C64">
    <cfRule type="expression" priority="452" dxfId="0" stopIfTrue="1">
      <formula>I64&lt;6</formula>
    </cfRule>
  </conditionalFormatting>
  <conditionalFormatting sqref="C74">
    <cfRule type="expression" priority="450" dxfId="0" stopIfTrue="1">
      <formula>I74&lt;6</formula>
    </cfRule>
  </conditionalFormatting>
  <conditionalFormatting sqref="C376">
    <cfRule type="expression" priority="441" dxfId="0" stopIfTrue="1">
      <formula>I376&lt;6</formula>
    </cfRule>
  </conditionalFormatting>
  <conditionalFormatting sqref="C5">
    <cfRule type="expression" priority="432" dxfId="0" stopIfTrue="1">
      <formula>I5&lt;6</formula>
    </cfRule>
  </conditionalFormatting>
  <conditionalFormatting sqref="C54">
    <cfRule type="expression" priority="457" dxfId="0" stopIfTrue="1">
      <formula>I54&lt;6</formula>
    </cfRule>
  </conditionalFormatting>
  <conditionalFormatting sqref="C37">
    <cfRule type="expression" priority="459" dxfId="0" stopIfTrue="1">
      <formula>I37&lt;6</formula>
    </cfRule>
  </conditionalFormatting>
  <conditionalFormatting sqref="C41">
    <cfRule type="expression" priority="458" dxfId="0" stopIfTrue="1">
      <formula>I41&lt;6</formula>
    </cfRule>
  </conditionalFormatting>
  <conditionalFormatting sqref="C381">
    <cfRule type="expression" priority="438" dxfId="0" stopIfTrue="1">
      <formula>I381&lt;6</formula>
    </cfRule>
  </conditionalFormatting>
  <conditionalFormatting sqref="C53">
    <cfRule type="expression" priority="456" dxfId="0" stopIfTrue="1">
      <formula>I53&lt;6</formula>
    </cfRule>
  </conditionalFormatting>
  <conditionalFormatting sqref="C61">
    <cfRule type="expression" priority="455" dxfId="0" stopIfTrue="1">
      <formula>I61&lt;6</formula>
    </cfRule>
  </conditionalFormatting>
  <conditionalFormatting sqref="B224">
    <cfRule type="expression" priority="424" dxfId="0" stopIfTrue="1">
      <formula>H224&lt;6</formula>
    </cfRule>
  </conditionalFormatting>
  <conditionalFormatting sqref="B225">
    <cfRule type="expression" priority="423" dxfId="0" stopIfTrue="1">
      <formula>H225&lt;6</formula>
    </cfRule>
  </conditionalFormatting>
  <conditionalFormatting sqref="C57">
    <cfRule type="expression" priority="451" dxfId="0" stopIfTrue="1">
      <formula>I57&lt;6</formula>
    </cfRule>
  </conditionalFormatting>
  <conditionalFormatting sqref="B219">
    <cfRule type="expression" priority="409" dxfId="0" stopIfTrue="1">
      <formula>H219&lt;6</formula>
    </cfRule>
  </conditionalFormatting>
  <conditionalFormatting sqref="C212">
    <cfRule type="expression" priority="445" dxfId="0" stopIfTrue="1">
      <formula>I212&lt;6</formula>
    </cfRule>
  </conditionalFormatting>
  <conditionalFormatting sqref="C209">
    <cfRule type="expression" priority="447" dxfId="0" stopIfTrue="1">
      <formula>I209&lt;6</formula>
    </cfRule>
  </conditionalFormatting>
  <conditionalFormatting sqref="C217">
    <cfRule type="expression" priority="446" dxfId="0" stopIfTrue="1">
      <formula>I217&lt;6</formula>
    </cfRule>
  </conditionalFormatting>
  <conditionalFormatting sqref="C219">
    <cfRule type="expression" priority="444" dxfId="0" stopIfTrue="1">
      <formula>I219&lt;6</formula>
    </cfRule>
  </conditionalFormatting>
  <conditionalFormatting sqref="C76">
    <cfRule type="expression" priority="429" dxfId="0" stopIfTrue="1">
      <formula>I76&lt;6</formula>
    </cfRule>
  </conditionalFormatting>
  <conditionalFormatting sqref="B212">
    <cfRule type="expression" priority="410" dxfId="0" stopIfTrue="1">
      <formula>H212&lt;6</formula>
    </cfRule>
  </conditionalFormatting>
  <conditionalFormatting sqref="C377">
    <cfRule type="expression" priority="443" dxfId="0" stopIfTrue="1">
      <formula>I377&lt;6</formula>
    </cfRule>
  </conditionalFormatting>
  <conditionalFormatting sqref="C380">
    <cfRule type="expression" priority="436" dxfId="0" stopIfTrue="1">
      <formula>I380&lt;6</formula>
    </cfRule>
  </conditionalFormatting>
  <conditionalFormatting sqref="C384">
    <cfRule type="expression" priority="440" dxfId="0" stopIfTrue="1">
      <formula>I384&lt;6</formula>
    </cfRule>
  </conditionalFormatting>
  <conditionalFormatting sqref="C378">
    <cfRule type="expression" priority="442" dxfId="0" stopIfTrue="1">
      <formula>I378&lt;6</formula>
    </cfRule>
  </conditionalFormatting>
  <conditionalFormatting sqref="B381">
    <cfRule type="expression" priority="402" dxfId="0" stopIfTrue="1">
      <formula>H381&lt;6</formula>
    </cfRule>
  </conditionalFormatting>
  <conditionalFormatting sqref="C382">
    <cfRule type="expression" priority="439" dxfId="0" stopIfTrue="1">
      <formula>I382&lt;6</formula>
    </cfRule>
  </conditionalFormatting>
  <conditionalFormatting sqref="B380">
    <cfRule type="expression" priority="400" dxfId="0" stopIfTrue="1">
      <formula>H380&lt;6</formula>
    </cfRule>
  </conditionalFormatting>
  <conditionalFormatting sqref="C383">
    <cfRule type="expression" priority="437" dxfId="0" stopIfTrue="1">
      <formula>I383&lt;6</formula>
    </cfRule>
  </conditionalFormatting>
  <conditionalFormatting sqref="B37">
    <cfRule type="expression" priority="421" dxfId="0" stopIfTrue="1">
      <formula>H37&lt;6</formula>
    </cfRule>
  </conditionalFormatting>
  <conditionalFormatting sqref="C14">
    <cfRule type="expression" priority="434" dxfId="0" stopIfTrue="1">
      <formula>I14&lt;6</formula>
    </cfRule>
  </conditionalFormatting>
  <conditionalFormatting sqref="C10">
    <cfRule type="expression" priority="433" dxfId="0" stopIfTrue="1">
      <formula>I10&lt;6</formula>
    </cfRule>
  </conditionalFormatting>
  <conditionalFormatting sqref="C27">
    <cfRule type="expression" priority="431" dxfId="0" stopIfTrue="1">
      <formula>I27&lt;6</formula>
    </cfRule>
  </conditionalFormatting>
  <conditionalFormatting sqref="B149">
    <cfRule type="expression" priority="428" dxfId="0" stopIfTrue="1">
      <formula>H149&lt;6</formula>
    </cfRule>
  </conditionalFormatting>
  <conditionalFormatting sqref="B39">
    <cfRule type="expression" priority="426" dxfId="0" stopIfTrue="1">
      <formula>H39&lt;6</formula>
    </cfRule>
  </conditionalFormatting>
  <conditionalFormatting sqref="B20 B41:B42 B23:B24">
    <cfRule type="expression" priority="430" dxfId="0" stopIfTrue="1">
      <formula>H20&lt;6</formula>
    </cfRule>
  </conditionalFormatting>
  <conditionalFormatting sqref="B377">
    <cfRule type="expression" priority="407" dxfId="0" stopIfTrue="1">
      <formula>H377&lt;6</formula>
    </cfRule>
  </conditionalFormatting>
  <conditionalFormatting sqref="B5">
    <cfRule type="expression" priority="394" dxfId="0" stopIfTrue="1">
      <formula>H5&lt;6</formula>
    </cfRule>
  </conditionalFormatting>
  <conditionalFormatting sqref="B378">
    <cfRule type="expression" priority="406" dxfId="0" stopIfTrue="1">
      <formula>H378&lt;6</formula>
    </cfRule>
  </conditionalFormatting>
  <conditionalFormatting sqref="B275">
    <cfRule type="expression" priority="408" dxfId="0" stopIfTrue="1">
      <formula>H275&lt;6</formula>
    </cfRule>
  </conditionalFormatting>
  <conditionalFormatting sqref="B38">
    <cfRule type="expression" priority="427" dxfId="0" stopIfTrue="1">
      <formula>H38&lt;6</formula>
    </cfRule>
  </conditionalFormatting>
  <conditionalFormatting sqref="B14">
    <cfRule type="expression" priority="396" dxfId="0" stopIfTrue="1">
      <formula>H14&lt;6</formula>
    </cfRule>
  </conditionalFormatting>
  <conditionalFormatting sqref="B384:B389">
    <cfRule type="expression" priority="404" dxfId="0" stopIfTrue="1">
      <formula>H384&lt;6</formula>
    </cfRule>
  </conditionalFormatting>
  <conditionalFormatting sqref="B226">
    <cfRule type="expression" priority="422" dxfId="0" stopIfTrue="1">
      <formula>H226&lt;6</formula>
    </cfRule>
  </conditionalFormatting>
  <conditionalFormatting sqref="B61">
    <cfRule type="expression" priority="418" dxfId="0" stopIfTrue="1">
      <formula>H61&lt;6</formula>
    </cfRule>
  </conditionalFormatting>
  <conditionalFormatting sqref="B211">
    <cfRule type="expression" priority="425" dxfId="0" stopIfTrue="1">
      <formula>H211&lt;6</formula>
    </cfRule>
  </conditionalFormatting>
  <conditionalFormatting sqref="B63">
    <cfRule type="expression" priority="417" dxfId="0" stopIfTrue="1">
      <formula>H63&lt;6</formula>
    </cfRule>
  </conditionalFormatting>
  <conditionalFormatting sqref="B57">
    <cfRule type="expression" priority="416" dxfId="0" stopIfTrue="1">
      <formula>H57&lt;6</formula>
    </cfRule>
  </conditionalFormatting>
  <conditionalFormatting sqref="B27">
    <cfRule type="expression" priority="393" dxfId="0" stopIfTrue="1">
      <formula>H27&lt;6</formula>
    </cfRule>
  </conditionalFormatting>
  <conditionalFormatting sqref="B74">
    <cfRule type="expression" priority="415" dxfId="0" stopIfTrue="1">
      <formula>H74&lt;6</formula>
    </cfRule>
  </conditionalFormatting>
  <conditionalFormatting sqref="B383">
    <cfRule type="expression" priority="401" dxfId="0" stopIfTrue="1">
      <formula>H383&lt;6</formula>
    </cfRule>
  </conditionalFormatting>
  <conditionalFormatting sqref="B53">
    <cfRule type="expression" priority="419" dxfId="0" stopIfTrue="1">
      <formula>H53&lt;6</formula>
    </cfRule>
  </conditionalFormatting>
  <conditionalFormatting sqref="A14">
    <cfRule type="expression" priority="390" dxfId="0" stopIfTrue="1">
      <formula>G14&lt;6</formula>
    </cfRule>
  </conditionalFormatting>
  <conditionalFormatting sqref="B177">
    <cfRule type="expression" priority="371" dxfId="0" stopIfTrue="1">
      <formula>H177&lt;6</formula>
    </cfRule>
  </conditionalFormatting>
  <conditionalFormatting sqref="B10">
    <cfRule type="expression" priority="395" dxfId="0" stopIfTrue="1">
      <formula>H10&lt;6</formula>
    </cfRule>
  </conditionalFormatting>
  <conditionalFormatting sqref="B376">
    <cfRule type="expression" priority="405" dxfId="0" stopIfTrue="1">
      <formula>H376&lt;6</formula>
    </cfRule>
  </conditionalFormatting>
  <conditionalFormatting sqref="A10">
    <cfRule type="expression" priority="389" dxfId="0" stopIfTrue="1">
      <formula>G10&lt;6</formula>
    </cfRule>
  </conditionalFormatting>
  <conditionalFormatting sqref="B159">
    <cfRule type="expression" priority="413" dxfId="0" stopIfTrue="1">
      <formula>H159&lt;6</formula>
    </cfRule>
  </conditionalFormatting>
  <conditionalFormatting sqref="C32">
    <cfRule type="expression" priority="387" dxfId="0" stopIfTrue="1">
      <formula>I32&lt;6</formula>
    </cfRule>
  </conditionalFormatting>
  <conditionalFormatting sqref="A61">
    <cfRule type="expression" priority="377" dxfId="0" stopIfTrue="1">
      <formula>G61&lt;6</formula>
    </cfRule>
  </conditionalFormatting>
  <conditionalFormatting sqref="C77">
    <cfRule type="expression" priority="384" dxfId="0" stopIfTrue="1">
      <formula>I77&lt;6</formula>
    </cfRule>
  </conditionalFormatting>
  <conditionalFormatting sqref="C16">
    <cfRule type="expression" priority="392" dxfId="0" stopIfTrue="1">
      <formula>I16&lt;6</formula>
    </cfRule>
  </conditionalFormatting>
  <conditionalFormatting sqref="A20 A23:A24">
    <cfRule type="expression" priority="391" dxfId="0" stopIfTrue="1">
      <formula>G20&lt;6</formula>
    </cfRule>
  </conditionalFormatting>
  <conditionalFormatting sqref="C77">
    <cfRule type="expression" priority="385" dxfId="0" stopIfTrue="1">
      <formula>I77&lt;6</formula>
    </cfRule>
  </conditionalFormatting>
  <conditionalFormatting sqref="A38:A39">
    <cfRule type="expression" priority="381" dxfId="0" stopIfTrue="1">
      <formula>G38&lt;6</formula>
    </cfRule>
  </conditionalFormatting>
  <conditionalFormatting sqref="B154">
    <cfRule type="expression" priority="414" dxfId="0" stopIfTrue="1">
      <formula>H154&lt;6</formula>
    </cfRule>
  </conditionalFormatting>
  <conditionalFormatting sqref="B382">
    <cfRule type="expression" priority="403" dxfId="0" stopIfTrue="1">
      <formula>H382&lt;6</formula>
    </cfRule>
  </conditionalFormatting>
  <conditionalFormatting sqref="B209">
    <cfRule type="expression" priority="412" dxfId="0" stopIfTrue="1">
      <formula>H209&lt;6</formula>
    </cfRule>
  </conditionalFormatting>
  <conditionalFormatting sqref="B217">
    <cfRule type="expression" priority="411" dxfId="0" stopIfTrue="1">
      <formula>H217&lt;6</formula>
    </cfRule>
  </conditionalFormatting>
  <conditionalFormatting sqref="A5">
    <cfRule type="expression" priority="373" dxfId="0" stopIfTrue="1">
      <formula>G5&lt;6</formula>
    </cfRule>
  </conditionalFormatting>
  <conditionalFormatting sqref="A41:A42">
    <cfRule type="expression" priority="382" dxfId="0" stopIfTrue="1">
      <formula>G41&lt;6</formula>
    </cfRule>
  </conditionalFormatting>
  <conditionalFormatting sqref="A27">
    <cfRule type="expression" priority="388" dxfId="0" stopIfTrue="1">
      <formula>G27&lt;6</formula>
    </cfRule>
  </conditionalFormatting>
  <conditionalFormatting sqref="B32">
    <cfRule type="expression" priority="386" dxfId="0" stopIfTrue="1">
      <formula>H32&lt;6</formula>
    </cfRule>
  </conditionalFormatting>
  <conditionalFormatting sqref="A37">
    <cfRule type="expression" priority="380" dxfId="0" stopIfTrue="1">
      <formula>G37&lt;6</formula>
    </cfRule>
  </conditionalFormatting>
  <conditionalFormatting sqref="A41">
    <cfRule type="expression" priority="379" dxfId="0" stopIfTrue="1">
      <formula>G41&lt;6</formula>
    </cfRule>
  </conditionalFormatting>
  <conditionalFormatting sqref="A53">
    <cfRule type="expression" priority="378" dxfId="0" stopIfTrue="1">
      <formula>G53&lt;6</formula>
    </cfRule>
  </conditionalFormatting>
  <conditionalFormatting sqref="B76:B77">
    <cfRule type="expression" priority="383" dxfId="0" stopIfTrue="1">
      <formula>H76&lt;6</formula>
    </cfRule>
  </conditionalFormatting>
  <conditionalFormatting sqref="A57">
    <cfRule type="expression" priority="376" dxfId="0" stopIfTrue="1">
      <formula>G57&lt;6</formula>
    </cfRule>
  </conditionalFormatting>
  <conditionalFormatting sqref="C153">
    <cfRule type="expression" priority="368" dxfId="0" stopIfTrue="1">
      <formula>I153&lt;6</formula>
    </cfRule>
  </conditionalFormatting>
  <conditionalFormatting sqref="B158">
    <cfRule type="expression" priority="369" dxfId="0" stopIfTrue="1">
      <formula>H158&lt;6</formula>
    </cfRule>
  </conditionalFormatting>
  <conditionalFormatting sqref="C177">
    <cfRule type="expression" priority="372" dxfId="0" stopIfTrue="1">
      <formula>I177&lt;6</formula>
    </cfRule>
  </conditionalFormatting>
  <conditionalFormatting sqref="A177">
    <cfRule type="expression" priority="361" dxfId="0" stopIfTrue="1">
      <formula>G177&lt;6</formula>
    </cfRule>
  </conditionalFormatting>
  <conditionalFormatting sqref="B223">
    <cfRule type="expression" priority="356" dxfId="0" stopIfTrue="1">
      <formula>H223&lt;6</formula>
    </cfRule>
  </conditionalFormatting>
  <conditionalFormatting sqref="B148">
    <cfRule type="expression" priority="365" dxfId="0" stopIfTrue="1">
      <formula>H148&lt;6</formula>
    </cfRule>
  </conditionalFormatting>
  <conditionalFormatting sqref="A158">
    <cfRule type="expression" priority="360" dxfId="0" stopIfTrue="1">
      <formula>G158&lt;6</formula>
    </cfRule>
  </conditionalFormatting>
  <conditionalFormatting sqref="A149">
    <cfRule type="expression" priority="364" dxfId="0" stopIfTrue="1">
      <formula>G149&lt;6</formula>
    </cfRule>
  </conditionalFormatting>
  <conditionalFormatting sqref="C148">
    <cfRule type="expression" priority="366" dxfId="0" stopIfTrue="1">
      <formula>I148&lt;6</formula>
    </cfRule>
  </conditionalFormatting>
  <conditionalFormatting sqref="B153">
    <cfRule type="expression" priority="367" dxfId="0" stopIfTrue="1">
      <formula>H153&lt;6</formula>
    </cfRule>
  </conditionalFormatting>
  <conditionalFormatting sqref="A219">
    <cfRule type="expression" priority="350" dxfId="0" stopIfTrue="1">
      <formula>G219&lt;6</formula>
    </cfRule>
  </conditionalFormatting>
  <conditionalFormatting sqref="A380">
    <cfRule type="expression" priority="344" dxfId="0" stopIfTrue="1">
      <formula>G380&lt;6</formula>
    </cfRule>
  </conditionalFormatting>
  <conditionalFormatting sqref="A154">
    <cfRule type="expression" priority="363" dxfId="0" stopIfTrue="1">
      <formula>G154&lt;6</formula>
    </cfRule>
  </conditionalFormatting>
  <conditionalFormatting sqref="A74">
    <cfRule type="expression" priority="375" dxfId="0" stopIfTrue="1">
      <formula>G74&lt;6</formula>
    </cfRule>
  </conditionalFormatting>
  <conditionalFormatting sqref="A222">
    <cfRule type="expression" priority="349" dxfId="0" stopIfTrue="1">
      <formula>G222&lt;6</formula>
    </cfRule>
  </conditionalFormatting>
  <conditionalFormatting sqref="C222">
    <cfRule type="expression" priority="348" dxfId="0" stopIfTrue="1">
      <formula>I222&lt;6</formula>
    </cfRule>
  </conditionalFormatting>
  <conditionalFormatting sqref="A408">
    <cfRule type="expression" priority="338" dxfId="0" stopIfTrue="1">
      <formula>G408&lt;6</formula>
    </cfRule>
  </conditionalFormatting>
  <conditionalFormatting sqref="A465">
    <cfRule type="expression" priority="335" dxfId="0" stopIfTrue="1">
      <formula>G465&lt;6</formula>
    </cfRule>
  </conditionalFormatting>
  <conditionalFormatting sqref="A32">
    <cfRule type="expression" priority="374" dxfId="0" stopIfTrue="1">
      <formula>G32&lt;6</formula>
    </cfRule>
  </conditionalFormatting>
  <conditionalFormatting sqref="A209">
    <cfRule type="expression" priority="353" dxfId="0" stopIfTrue="1">
      <formula>G209&lt;6</formula>
    </cfRule>
  </conditionalFormatting>
  <conditionalFormatting sqref="A159">
    <cfRule type="expression" priority="362" dxfId="0" stopIfTrue="1">
      <formula>G159&lt;6</formula>
    </cfRule>
  </conditionalFormatting>
  <conditionalFormatting sqref="A489">
    <cfRule type="expression" priority="329" dxfId="0" stopIfTrue="1">
      <formula>G489&lt;6</formula>
    </cfRule>
  </conditionalFormatting>
  <conditionalFormatting sqref="A515">
    <cfRule type="expression" priority="326" dxfId="0" stopIfTrue="1">
      <formula>G515&lt;6</formula>
    </cfRule>
  </conditionalFormatting>
  <conditionalFormatting sqref="C158">
    <cfRule type="expression" priority="370" dxfId="0" stopIfTrue="1">
      <formula>I158&lt;6</formula>
    </cfRule>
  </conditionalFormatting>
  <conditionalFormatting sqref="B408">
    <cfRule type="expression" priority="339" dxfId="0" stopIfTrue="1">
      <formula>H408&lt;6</formula>
    </cfRule>
  </conditionalFormatting>
  <conditionalFormatting sqref="C401">
    <cfRule type="expression" priority="343" dxfId="0" stopIfTrue="1">
      <formula>I401&lt;6</formula>
    </cfRule>
  </conditionalFormatting>
  <conditionalFormatting sqref="A376">
    <cfRule type="expression" priority="346" dxfId="0" stopIfTrue="1">
      <formula>G376&lt;6</formula>
    </cfRule>
  </conditionalFormatting>
  <conditionalFormatting sqref="B401">
    <cfRule type="expression" priority="342" dxfId="0" stopIfTrue="1">
      <formula>H401&lt;6</formula>
    </cfRule>
  </conditionalFormatting>
  <conditionalFormatting sqref="A381:A389">
    <cfRule type="expression" priority="345" dxfId="0" stopIfTrue="1">
      <formula>G381&lt;6</formula>
    </cfRule>
  </conditionalFormatting>
  <conditionalFormatting sqref="A401">
    <cfRule type="expression" priority="341" dxfId="0" stopIfTrue="1">
      <formula>G401&lt;6</formula>
    </cfRule>
  </conditionalFormatting>
  <conditionalFormatting sqref="A211">
    <cfRule type="expression" priority="354" dxfId="0" stopIfTrue="1">
      <formula>G211&lt;6</formula>
    </cfRule>
  </conditionalFormatting>
  <conditionalFormatting sqref="B222">
    <cfRule type="expression" priority="355" dxfId="0" stopIfTrue="1">
      <formula>H222&lt;6</formula>
    </cfRule>
  </conditionalFormatting>
  <conditionalFormatting sqref="A217">
    <cfRule type="expression" priority="352" dxfId="0" stopIfTrue="1">
      <formula>G217&lt;6</formula>
    </cfRule>
  </conditionalFormatting>
  <conditionalFormatting sqref="A212">
    <cfRule type="expression" priority="351" dxfId="0" stopIfTrue="1">
      <formula>G212&lt;6</formula>
    </cfRule>
  </conditionalFormatting>
  <conditionalFormatting sqref="A153">
    <cfRule type="expression" priority="359" dxfId="0" stopIfTrue="1">
      <formula>G153&lt;6</formula>
    </cfRule>
  </conditionalFormatting>
  <conditionalFormatting sqref="A148">
    <cfRule type="expression" priority="358" dxfId="0" stopIfTrue="1">
      <formula>G148&lt;6</formula>
    </cfRule>
  </conditionalFormatting>
  <conditionalFormatting sqref="C223">
    <cfRule type="expression" priority="357" dxfId="0" stopIfTrue="1">
      <formula>I223&lt;6</formula>
    </cfRule>
  </conditionalFormatting>
  <conditionalFormatting sqref="B465">
    <cfRule type="expression" priority="336" dxfId="0" stopIfTrue="1">
      <formula>H465&lt;6</formula>
    </cfRule>
  </conditionalFormatting>
  <conditionalFormatting sqref="B515">
    <cfRule type="expression" priority="327" dxfId="0" stopIfTrue="1">
      <formula>H515&lt;6</formula>
    </cfRule>
  </conditionalFormatting>
  <conditionalFormatting sqref="B523">
    <cfRule type="expression" priority="324" dxfId="0" stopIfTrue="1">
      <formula>H523&lt;6</formula>
    </cfRule>
  </conditionalFormatting>
  <conditionalFormatting sqref="B489">
    <cfRule type="expression" priority="330" dxfId="0" stopIfTrue="1">
      <formula>H489&lt;6</formula>
    </cfRule>
  </conditionalFormatting>
  <conditionalFormatting sqref="C489">
    <cfRule type="expression" priority="331" dxfId="0" stopIfTrue="1">
      <formula>I489&lt;6</formula>
    </cfRule>
  </conditionalFormatting>
  <conditionalFormatting sqref="C408">
    <cfRule type="expression" priority="340" dxfId="0" stopIfTrue="1">
      <formula>I408&lt;6</formula>
    </cfRule>
  </conditionalFormatting>
  <conditionalFormatting sqref="C523">
    <cfRule type="expression" priority="325" dxfId="0" stopIfTrue="1">
      <formula>I523&lt;6</formula>
    </cfRule>
  </conditionalFormatting>
  <conditionalFormatting sqref="C465">
    <cfRule type="expression" priority="337" dxfId="0" stopIfTrue="1">
      <formula>I465&lt;6</formula>
    </cfRule>
  </conditionalFormatting>
  <conditionalFormatting sqref="C487">
    <cfRule type="expression" priority="334" dxfId="0" stopIfTrue="1">
      <formula>I487&lt;6</formula>
    </cfRule>
  </conditionalFormatting>
  <conditionalFormatting sqref="B487">
    <cfRule type="expression" priority="333" dxfId="0" stopIfTrue="1">
      <formula>H487&lt;6</formula>
    </cfRule>
  </conditionalFormatting>
  <conditionalFormatting sqref="A487">
    <cfRule type="expression" priority="332" dxfId="0" stopIfTrue="1">
      <formula>G487&lt;6</formula>
    </cfRule>
  </conditionalFormatting>
  <conditionalFormatting sqref="C515">
    <cfRule type="expression" priority="328" dxfId="0" stopIfTrue="1">
      <formula>I515&lt;6</formula>
    </cfRule>
  </conditionalFormatting>
  <conditionalFormatting sqref="A523">
    <cfRule type="expression" priority="323" dxfId="0" stopIfTrue="1">
      <formula>G523&lt;6</formula>
    </cfRule>
  </conditionalFormatting>
  <conditionalFormatting sqref="B258">
    <cfRule type="expression" priority="319" dxfId="0" stopIfTrue="1">
      <formula>H258&lt;6</formula>
    </cfRule>
  </conditionalFormatting>
  <conditionalFormatting sqref="C55">
    <cfRule type="expression" priority="322" dxfId="0" stopIfTrue="1">
      <formula>I55&lt;6</formula>
    </cfRule>
  </conditionalFormatting>
  <conditionalFormatting sqref="A499">
    <cfRule type="expression" priority="315" dxfId="0" stopIfTrue="1">
      <formula>G499&lt;6</formula>
    </cfRule>
  </conditionalFormatting>
  <conditionalFormatting sqref="C75">
    <cfRule type="expression" priority="320" dxfId="0" stopIfTrue="1">
      <formula>I75&lt;6</formula>
    </cfRule>
  </conditionalFormatting>
  <conditionalFormatting sqref="B75">
    <cfRule type="expression" priority="321" dxfId="0" stopIfTrue="1">
      <formula>H75&lt;6</formula>
    </cfRule>
  </conditionalFormatting>
  <conditionalFormatting sqref="C499">
    <cfRule type="expression" priority="317" dxfId="0" stopIfTrue="1">
      <formula>I499&lt;6</formula>
    </cfRule>
  </conditionalFormatting>
  <conditionalFormatting sqref="A258">
    <cfRule type="expression" priority="318" dxfId="0" stopIfTrue="1">
      <formula>G258&lt;6</formula>
    </cfRule>
  </conditionalFormatting>
  <conditionalFormatting sqref="B499">
    <cfRule type="expression" priority="316" dxfId="0" stopIfTrue="1">
      <formula>H499&lt;6</formula>
    </cfRule>
  </conditionalFormatting>
  <conditionalFormatting sqref="C470">
    <cfRule type="expression" priority="314" dxfId="0" stopIfTrue="1">
      <formula>I470&lt;6</formula>
    </cfRule>
  </conditionalFormatting>
  <conditionalFormatting sqref="A470">
    <cfRule type="expression" priority="312" dxfId="0" stopIfTrue="1">
      <formula>G470&lt;6</formula>
    </cfRule>
  </conditionalFormatting>
  <conditionalFormatting sqref="B470">
    <cfRule type="expression" priority="313" dxfId="0" stopIfTrue="1">
      <formula>H470&lt;6</formula>
    </cfRule>
  </conditionalFormatting>
  <conditionalFormatting sqref="A476">
    <cfRule type="expression" priority="309" dxfId="0" stopIfTrue="1">
      <formula>G476&lt;6</formula>
    </cfRule>
  </conditionalFormatting>
  <conditionalFormatting sqref="B476">
    <cfRule type="expression" priority="310" dxfId="0" stopIfTrue="1">
      <formula>H476&lt;6</formula>
    </cfRule>
  </conditionalFormatting>
  <conditionalFormatting sqref="C476">
    <cfRule type="expression" priority="311" dxfId="0" stopIfTrue="1">
      <formula>I476&lt;6</formula>
    </cfRule>
  </conditionalFormatting>
  <conditionalFormatting sqref="A482">
    <cfRule type="expression" priority="306" dxfId="0" stopIfTrue="1">
      <formula>G482&lt;6</formula>
    </cfRule>
  </conditionalFormatting>
  <conditionalFormatting sqref="B482">
    <cfRule type="expression" priority="307" dxfId="0" stopIfTrue="1">
      <formula>H482&lt;6</formula>
    </cfRule>
  </conditionalFormatting>
  <conditionalFormatting sqref="C482">
    <cfRule type="expression" priority="308" dxfId="0" stopIfTrue="1">
      <formula>I482&lt;6</formula>
    </cfRule>
  </conditionalFormatting>
  <conditionalFormatting sqref="A229">
    <cfRule type="expression" priority="303" dxfId="0" stopIfTrue="1">
      <formula>G229&lt;6</formula>
    </cfRule>
  </conditionalFormatting>
  <conditionalFormatting sqref="C229">
    <cfRule type="expression" priority="305" dxfId="0" stopIfTrue="1">
      <formula>I229&lt;6</formula>
    </cfRule>
  </conditionalFormatting>
  <conditionalFormatting sqref="B229">
    <cfRule type="expression" priority="304" dxfId="0" stopIfTrue="1">
      <formula>H229&lt;6</formula>
    </cfRule>
  </conditionalFormatting>
  <conditionalFormatting sqref="C431">
    <cfRule type="expression" priority="301" dxfId="0" stopIfTrue="1">
      <formula>I431&lt;6</formula>
    </cfRule>
  </conditionalFormatting>
  <conditionalFormatting sqref="A431">
    <cfRule type="expression" priority="299" dxfId="0" stopIfTrue="1">
      <formula>G431&lt;6</formula>
    </cfRule>
  </conditionalFormatting>
  <conditionalFormatting sqref="C200">
    <cfRule type="expression" priority="298" dxfId="0" stopIfTrue="1">
      <formula>I200&lt;6</formula>
    </cfRule>
  </conditionalFormatting>
  <conditionalFormatting sqref="B431">
    <cfRule type="expression" priority="300" dxfId="0" stopIfTrue="1">
      <formula>H431&lt;6</formula>
    </cfRule>
  </conditionalFormatting>
  <conditionalFormatting sqref="B200">
    <cfRule type="expression" priority="297" dxfId="0" stopIfTrue="1">
      <formula>H200&lt;6</formula>
    </cfRule>
  </conditionalFormatting>
  <conditionalFormatting sqref="A200">
    <cfRule type="expression" priority="296" dxfId="0" stopIfTrue="1">
      <formula>G200&lt;6</formula>
    </cfRule>
  </conditionalFormatting>
  <conditionalFormatting sqref="B198">
    <cfRule type="expression" priority="294" dxfId="0" stopIfTrue="1">
      <formula>H198&lt;6</formula>
    </cfRule>
  </conditionalFormatting>
  <conditionalFormatting sqref="A198">
    <cfRule type="expression" priority="293" dxfId="0" stopIfTrue="1">
      <formula>G198&lt;6</formula>
    </cfRule>
  </conditionalFormatting>
  <conditionalFormatting sqref="A204">
    <cfRule type="expression" priority="289" dxfId="0" stopIfTrue="1">
      <formula>G204&lt;6</formula>
    </cfRule>
  </conditionalFormatting>
  <conditionalFormatting sqref="B204">
    <cfRule type="expression" priority="290" dxfId="0" stopIfTrue="1">
      <formula>H204&lt;6</formula>
    </cfRule>
  </conditionalFormatting>
  <conditionalFormatting sqref="C204">
    <cfRule type="expression" priority="291" dxfId="0" stopIfTrue="1">
      <formula>I204&lt;6</formula>
    </cfRule>
  </conditionalFormatting>
  <conditionalFormatting sqref="C239">
    <cfRule type="expression" priority="288" dxfId="0" stopIfTrue="1">
      <formula>I239&lt;6</formula>
    </cfRule>
  </conditionalFormatting>
  <conditionalFormatting sqref="C198">
    <cfRule type="expression" priority="295" dxfId="0" stopIfTrue="1">
      <formula>I198&lt;6</formula>
    </cfRule>
  </conditionalFormatting>
  <conditionalFormatting sqref="A239">
    <cfRule type="expression" priority="286" dxfId="0" stopIfTrue="1">
      <formula>G239&lt;6</formula>
    </cfRule>
  </conditionalFormatting>
  <conditionalFormatting sqref="A241">
    <cfRule type="expression" priority="283" dxfId="0" stopIfTrue="1">
      <formula>G241&lt;6</formula>
    </cfRule>
  </conditionalFormatting>
  <conditionalFormatting sqref="B239">
    <cfRule type="expression" priority="287" dxfId="0" stopIfTrue="1">
      <formula>H239&lt;6</formula>
    </cfRule>
  </conditionalFormatting>
  <conditionalFormatting sqref="C241">
    <cfRule type="expression" priority="285" dxfId="0" stopIfTrue="1">
      <formula>I241&lt;6</formula>
    </cfRule>
  </conditionalFormatting>
  <conditionalFormatting sqref="B241">
    <cfRule type="expression" priority="284" dxfId="0" stopIfTrue="1">
      <formula>H241&lt;6</formula>
    </cfRule>
  </conditionalFormatting>
  <conditionalFormatting sqref="C199 C97 C59">
    <cfRule type="expression" priority="292" dxfId="0" stopIfTrue="1">
      <formula>H59&lt;6</formula>
    </cfRule>
  </conditionalFormatting>
  <conditionalFormatting sqref="C437">
    <cfRule type="expression" priority="273" dxfId="0" stopIfTrue="1">
      <formula>I437&lt;6</formula>
    </cfRule>
  </conditionalFormatting>
  <conditionalFormatting sqref="C456">
    <cfRule type="expression" priority="270" dxfId="0" stopIfTrue="1">
      <formula>I456&lt;6</formula>
    </cfRule>
  </conditionalFormatting>
  <conditionalFormatting sqref="B456">
    <cfRule type="expression" priority="269" dxfId="0" stopIfTrue="1">
      <formula>H456&lt;6</formula>
    </cfRule>
  </conditionalFormatting>
  <conditionalFormatting sqref="A437">
    <cfRule type="expression" priority="271" dxfId="0" stopIfTrue="1">
      <formula>G437&lt;6</formula>
    </cfRule>
  </conditionalFormatting>
  <conditionalFormatting sqref="B250">
    <cfRule type="expression" priority="266" dxfId="0" stopIfTrue="1">
      <formula>H250&lt;6</formula>
    </cfRule>
  </conditionalFormatting>
  <conditionalFormatting sqref="B437">
    <cfRule type="expression" priority="272" dxfId="0" stopIfTrue="1">
      <formula>H437&lt;6</formula>
    </cfRule>
  </conditionalFormatting>
  <conditionalFormatting sqref="A456">
    <cfRule type="expression" priority="268" dxfId="0" stopIfTrue="1">
      <formula>G456&lt;6</formula>
    </cfRule>
  </conditionalFormatting>
  <conditionalFormatting sqref="A250">
    <cfRule type="expression" priority="265" dxfId="0" stopIfTrue="1">
      <formula>G250&lt;6</formula>
    </cfRule>
  </conditionalFormatting>
  <conditionalFormatting sqref="C250">
    <cfRule type="expression" priority="267" dxfId="0" stopIfTrue="1">
      <formula>I250&lt;6</formula>
    </cfRule>
  </conditionalFormatting>
  <conditionalFormatting sqref="C43">
    <cfRule type="expression" priority="264" dxfId="0" stopIfTrue="1">
      <formula>I43&lt;6</formula>
    </cfRule>
  </conditionalFormatting>
  <conditionalFormatting sqref="B43">
    <cfRule type="expression" priority="263" dxfId="0" stopIfTrue="1">
      <formula>H43&lt;6</formula>
    </cfRule>
  </conditionalFormatting>
  <conditionalFormatting sqref="A43">
    <cfRule type="expression" priority="262" dxfId="0" stopIfTrue="1">
      <formula>G43&lt;6</formula>
    </cfRule>
  </conditionalFormatting>
  <conditionalFormatting sqref="C46">
    <cfRule type="expression" priority="257" dxfId="0" stopIfTrue="1">
      <formula>H46&lt;6</formula>
    </cfRule>
  </conditionalFormatting>
  <conditionalFormatting sqref="C45">
    <cfRule type="expression" priority="261" dxfId="0" stopIfTrue="1">
      <formula>I45&lt;6</formula>
    </cfRule>
  </conditionalFormatting>
  <conditionalFormatting sqref="C50">
    <cfRule type="expression" priority="256" dxfId="0" stopIfTrue="1">
      <formula>I50&lt;6</formula>
    </cfRule>
  </conditionalFormatting>
  <conditionalFormatting sqref="B45">
    <cfRule type="expression" priority="260" dxfId="0" stopIfTrue="1">
      <formula>H45&lt;6</formula>
    </cfRule>
  </conditionalFormatting>
  <conditionalFormatting sqref="A45">
    <cfRule type="expression" priority="259" dxfId="0" stopIfTrue="1">
      <formula>G45&lt;6</formula>
    </cfRule>
  </conditionalFormatting>
  <conditionalFormatting sqref="C47">
    <cfRule type="expression" priority="258" dxfId="0" stopIfTrue="1">
      <formula>I47&lt;6</formula>
    </cfRule>
  </conditionalFormatting>
  <conditionalFormatting sqref="C215">
    <cfRule type="expression" priority="250" dxfId="0" stopIfTrue="1">
      <formula>I215&lt;6</formula>
    </cfRule>
  </conditionalFormatting>
  <conditionalFormatting sqref="C49">
    <cfRule type="expression" priority="255" dxfId="0" stopIfTrue="1">
      <formula>I49&lt;6</formula>
    </cfRule>
  </conditionalFormatting>
  <conditionalFormatting sqref="B49">
    <cfRule type="expression" priority="254" dxfId="0" stopIfTrue="1">
      <formula>H49&lt;6</formula>
    </cfRule>
  </conditionalFormatting>
  <conditionalFormatting sqref="A49">
    <cfRule type="expression" priority="253" dxfId="0" stopIfTrue="1">
      <formula>G49&lt;6</formula>
    </cfRule>
  </conditionalFormatting>
  <conditionalFormatting sqref="C51">
    <cfRule type="expression" priority="252" dxfId="0" stopIfTrue="1">
      <formula>I51&lt;6</formula>
    </cfRule>
  </conditionalFormatting>
  <conditionalFormatting sqref="B215">
    <cfRule type="expression" priority="248" dxfId="0" stopIfTrue="1">
      <formula>H215&lt;6</formula>
    </cfRule>
  </conditionalFormatting>
  <conditionalFormatting sqref="C213">
    <cfRule type="expression" priority="251" dxfId="0" stopIfTrue="1">
      <formula>I213&lt;6</formula>
    </cfRule>
  </conditionalFormatting>
  <conditionalFormatting sqref="B213">
    <cfRule type="expression" priority="249" dxfId="0" stopIfTrue="1">
      <formula>H213&lt;6</formula>
    </cfRule>
  </conditionalFormatting>
  <conditionalFormatting sqref="A213">
    <cfRule type="expression" priority="247" dxfId="0" stopIfTrue="1">
      <formula>G213&lt;6</formula>
    </cfRule>
  </conditionalFormatting>
  <conditionalFormatting sqref="A215">
    <cfRule type="expression" priority="246" dxfId="0" stopIfTrue="1">
      <formula>G215&lt;6</formula>
    </cfRule>
  </conditionalFormatting>
  <conditionalFormatting sqref="A259:A271">
    <cfRule type="expression" priority="245" dxfId="0" stopIfTrue="1">
      <formula>G259&lt;6</formula>
    </cfRule>
  </conditionalFormatting>
  <conditionalFormatting sqref="B393">
    <cfRule type="expression" priority="236" dxfId="0" stopIfTrue="1">
      <formula>H393&lt;6</formula>
    </cfRule>
  </conditionalFormatting>
  <conditionalFormatting sqref="C393">
    <cfRule type="expression" priority="239" dxfId="0" stopIfTrue="1">
      <formula>I393&lt;6</formula>
    </cfRule>
  </conditionalFormatting>
  <conditionalFormatting sqref="B391">
    <cfRule type="expression" priority="233" dxfId="0" stopIfTrue="1">
      <formula>H391&lt;6</formula>
    </cfRule>
  </conditionalFormatting>
  <conditionalFormatting sqref="C392">
    <cfRule type="expression" priority="238" dxfId="0" stopIfTrue="1">
      <formula>I392&lt;6</formula>
    </cfRule>
  </conditionalFormatting>
  <conditionalFormatting sqref="C391">
    <cfRule type="expression" priority="237" dxfId="0" stopIfTrue="1">
      <formula>I391&lt;6</formula>
    </cfRule>
  </conditionalFormatting>
  <conditionalFormatting sqref="A391">
    <cfRule type="expression" priority="232" dxfId="0" stopIfTrue="1">
      <formula>G391&lt;6</formula>
    </cfRule>
  </conditionalFormatting>
  <conditionalFormatting sqref="C258">
    <cfRule type="expression" priority="228" dxfId="0" stopIfTrue="1">
      <formula>I258&lt;6</formula>
    </cfRule>
  </conditionalFormatting>
  <conditionalFormatting sqref="B394">
    <cfRule type="expression" priority="234" dxfId="0" stopIfTrue="1">
      <formula>H394&lt;6</formula>
    </cfRule>
  </conditionalFormatting>
  <conditionalFormatting sqref="B392">
    <cfRule type="expression" priority="235" dxfId="0" stopIfTrue="1">
      <formula>H392&lt;6</formula>
    </cfRule>
  </conditionalFormatting>
  <conditionalFormatting sqref="C275">
    <cfRule type="expression" priority="227" dxfId="0" stopIfTrue="1">
      <formula>I275&lt;6</formula>
    </cfRule>
  </conditionalFormatting>
  <conditionalFormatting sqref="B181">
    <cfRule type="expression" priority="208" dxfId="0" stopIfTrue="1">
      <formula>H181&lt;6</formula>
    </cfRule>
  </conditionalFormatting>
  <conditionalFormatting sqref="A181">
    <cfRule type="expression" priority="207" dxfId="0" stopIfTrue="1">
      <formula>G181&lt;6</formula>
    </cfRule>
  </conditionalFormatting>
  <conditionalFormatting sqref="C181">
    <cfRule type="expression" priority="209" dxfId="0" stopIfTrue="1">
      <formula>I181&lt;6</formula>
    </cfRule>
  </conditionalFormatting>
  <conditionalFormatting sqref="A185">
    <cfRule type="expression" priority="204" dxfId="0" stopIfTrue="1">
      <formula>G185&lt;6</formula>
    </cfRule>
  </conditionalFormatting>
  <conditionalFormatting sqref="A189">
    <cfRule type="expression" priority="201" dxfId="0" stopIfTrue="1">
      <formula>G189&lt;6</formula>
    </cfRule>
  </conditionalFormatting>
  <conditionalFormatting sqref="B185">
    <cfRule type="expression" priority="205" dxfId="0" stopIfTrue="1">
      <formula>H185&lt;6</formula>
    </cfRule>
  </conditionalFormatting>
  <conditionalFormatting sqref="C185">
    <cfRule type="expression" priority="206" dxfId="0" stopIfTrue="1">
      <formula>I185&lt;6</formula>
    </cfRule>
  </conditionalFormatting>
  <conditionalFormatting sqref="B189">
    <cfRule type="expression" priority="202" dxfId="0" stopIfTrue="1">
      <formula>H189&lt;6</formula>
    </cfRule>
  </conditionalFormatting>
  <conditionalFormatting sqref="C189">
    <cfRule type="expression" priority="203" dxfId="0" stopIfTrue="1">
      <formula>I189&lt;6</formula>
    </cfRule>
  </conditionalFormatting>
  <conditionalFormatting sqref="B262">
    <cfRule type="expression" priority="191" dxfId="0" stopIfTrue="1">
      <formula>H262&lt;6</formula>
    </cfRule>
  </conditionalFormatting>
  <conditionalFormatting sqref="B263">
    <cfRule type="expression" priority="192" dxfId="0" stopIfTrue="1">
      <formula>H263&lt;6</formula>
    </cfRule>
  </conditionalFormatting>
  <conditionalFormatting sqref="B260">
    <cfRule type="expression" priority="193" dxfId="0" stopIfTrue="1">
      <formula>H260&lt;6</formula>
    </cfRule>
  </conditionalFormatting>
  <conditionalFormatting sqref="C264">
    <cfRule type="expression" priority="200" dxfId="0" stopIfTrue="1">
      <formula>I264&lt;6</formula>
    </cfRule>
  </conditionalFormatting>
  <conditionalFormatting sqref="C266">
    <cfRule type="expression" priority="198" dxfId="0" stopIfTrue="1">
      <formula>I266&lt;6</formula>
    </cfRule>
  </conditionalFormatting>
  <conditionalFormatting sqref="C265">
    <cfRule type="expression" priority="199" dxfId="0" stopIfTrue="1">
      <formula>I265&lt;6</formula>
    </cfRule>
  </conditionalFormatting>
  <conditionalFormatting sqref="C260">
    <cfRule type="expression" priority="197" dxfId="0" stopIfTrue="1">
      <formula>I260&lt;6</formula>
    </cfRule>
  </conditionalFormatting>
  <conditionalFormatting sqref="C263">
    <cfRule type="expression" priority="196" dxfId="0" stopIfTrue="1">
      <formula>I263&lt;6</formula>
    </cfRule>
  </conditionalFormatting>
  <conditionalFormatting sqref="C262">
    <cfRule type="expression" priority="195" dxfId="0" stopIfTrue="1">
      <formula>I262&lt;6</formula>
    </cfRule>
  </conditionalFormatting>
  <conditionalFormatting sqref="C259">
    <cfRule type="expression" priority="194" dxfId="0" stopIfTrue="1">
      <formula>I259&lt;6</formula>
    </cfRule>
  </conditionalFormatting>
  <conditionalFormatting sqref="C460">
    <cfRule type="expression" priority="190" dxfId="0" stopIfTrue="1">
      <formula>I460&lt;6</formula>
    </cfRule>
  </conditionalFormatting>
  <conditionalFormatting sqref="B460">
    <cfRule type="expression" priority="189" dxfId="0" stopIfTrue="1">
      <formula>H460&lt;6</formula>
    </cfRule>
  </conditionalFormatting>
  <conditionalFormatting sqref="A460">
    <cfRule type="expression" priority="188" dxfId="0" stopIfTrue="1">
      <formula>G460&lt;6</formula>
    </cfRule>
  </conditionalFormatting>
  <conditionalFormatting sqref="B82">
    <cfRule type="expression" priority="186" dxfId="0" stopIfTrue="1">
      <formula>H82&lt;6</formula>
    </cfRule>
  </conditionalFormatting>
  <conditionalFormatting sqref="A82">
    <cfRule type="expression" priority="185" dxfId="0" stopIfTrue="1">
      <formula>G82&lt;6</formula>
    </cfRule>
  </conditionalFormatting>
  <conditionalFormatting sqref="C82">
    <cfRule type="expression" priority="187" dxfId="0" stopIfTrue="1">
      <formula>I82&lt;6</formula>
    </cfRule>
  </conditionalFormatting>
  <conditionalFormatting sqref="A101">
    <cfRule type="expression" priority="178" dxfId="0" stopIfTrue="1">
      <formula>G101&lt;6</formula>
    </cfRule>
  </conditionalFormatting>
  <conditionalFormatting sqref="C84">
    <cfRule type="expression" priority="176" dxfId="0" stopIfTrue="1">
      <formula>I84&lt;6</formula>
    </cfRule>
  </conditionalFormatting>
  <conditionalFormatting sqref="C96">
    <cfRule type="expression" priority="184" dxfId="0" stopIfTrue="1">
      <formula>H96&lt;6</formula>
    </cfRule>
  </conditionalFormatting>
  <conditionalFormatting sqref="C97">
    <cfRule type="expression" priority="183" dxfId="0" stopIfTrue="1">
      <formula>H97&lt;6</formula>
    </cfRule>
  </conditionalFormatting>
  <conditionalFormatting sqref="C98">
    <cfRule type="expression" priority="182" dxfId="0" stopIfTrue="1">
      <formula>H98&lt;6</formula>
    </cfRule>
  </conditionalFormatting>
  <conditionalFormatting sqref="C99">
    <cfRule type="expression" priority="181" dxfId="0" stopIfTrue="1">
      <formula>H99&lt;6</formula>
    </cfRule>
  </conditionalFormatting>
  <conditionalFormatting sqref="B101">
    <cfRule type="expression" priority="179" dxfId="0" stopIfTrue="1">
      <formula>H101&lt;6</formula>
    </cfRule>
  </conditionalFormatting>
  <conditionalFormatting sqref="C101">
    <cfRule type="expression" priority="180" dxfId="0" stopIfTrue="1">
      <formula>I101&lt;6</formula>
    </cfRule>
  </conditionalFormatting>
  <conditionalFormatting sqref="C129:C130">
    <cfRule type="expression" priority="171" dxfId="0" stopIfTrue="1">
      <formula>H129&lt;6</formula>
    </cfRule>
  </conditionalFormatting>
  <conditionalFormatting sqref="C114">
    <cfRule type="expression" priority="175" dxfId="0" stopIfTrue="1">
      <formula>I114&lt;6</formula>
    </cfRule>
  </conditionalFormatting>
  <conditionalFormatting sqref="B114">
    <cfRule type="expression" priority="174" dxfId="0" stopIfTrue="1">
      <formula>H114&lt;6</formula>
    </cfRule>
  </conditionalFormatting>
  <conditionalFormatting sqref="A114">
    <cfRule type="expression" priority="173" dxfId="0" stopIfTrue="1">
      <formula>G114&lt;6</formula>
    </cfRule>
  </conditionalFormatting>
  <conditionalFormatting sqref="C128">
    <cfRule type="expression" priority="172" dxfId="0" stopIfTrue="1">
      <formula>H128&lt;6</formula>
    </cfRule>
  </conditionalFormatting>
  <conditionalFormatting sqref="C129">
    <cfRule type="expression" priority="170" dxfId="0" stopIfTrue="1">
      <formula>H129&lt;6</formula>
    </cfRule>
  </conditionalFormatting>
  <conditionalFormatting sqref="C84">
    <cfRule type="expression" priority="177" dxfId="0" stopIfTrue="1">
      <formula>I84&lt;6</formula>
    </cfRule>
  </conditionalFormatting>
  <conditionalFormatting sqref="C116">
    <cfRule type="expression" priority="168" dxfId="0" stopIfTrue="1">
      <formula>I116&lt;6</formula>
    </cfRule>
  </conditionalFormatting>
  <conditionalFormatting sqref="C116">
    <cfRule type="expression" priority="169" dxfId="0" stopIfTrue="1">
      <formula>I116&lt;6</formula>
    </cfRule>
  </conditionalFormatting>
  <conditionalFormatting sqref="C423">
    <cfRule type="expression" priority="167" dxfId="0" stopIfTrue="1">
      <formula>I423&lt;6</formula>
    </cfRule>
  </conditionalFormatting>
  <conditionalFormatting sqref="B423">
    <cfRule type="expression" priority="166" dxfId="0" stopIfTrue="1">
      <formula>H423&lt;6</formula>
    </cfRule>
  </conditionalFormatting>
  <conditionalFormatting sqref="A423">
    <cfRule type="expression" priority="165" dxfId="0" stopIfTrue="1">
      <formula>G423&lt;6</formula>
    </cfRule>
  </conditionalFormatting>
  <conditionalFormatting sqref="A164">
    <cfRule type="expression" priority="153" dxfId="0" stopIfTrue="1">
      <formula>G164&lt;6</formula>
    </cfRule>
  </conditionalFormatting>
  <conditionalFormatting sqref="B165">
    <cfRule type="expression" priority="157" dxfId="0" stopIfTrue="1">
      <formula>H165&lt;6</formula>
    </cfRule>
  </conditionalFormatting>
  <conditionalFormatting sqref="A170">
    <cfRule type="expression" priority="147" dxfId="0" stopIfTrue="1">
      <formula>G170&lt;6</formula>
    </cfRule>
  </conditionalFormatting>
  <conditionalFormatting sqref="B164">
    <cfRule type="expression" priority="155" dxfId="0" stopIfTrue="1">
      <formula>H164&lt;6</formula>
    </cfRule>
  </conditionalFormatting>
  <conditionalFormatting sqref="A165">
    <cfRule type="expression" priority="154" dxfId="0" stopIfTrue="1">
      <formula>G165&lt;6</formula>
    </cfRule>
  </conditionalFormatting>
  <conditionalFormatting sqref="C165">
    <cfRule type="expression" priority="158" dxfId="0" stopIfTrue="1">
      <formula>I165&lt;6</formula>
    </cfRule>
  </conditionalFormatting>
  <conditionalFormatting sqref="B171">
    <cfRule type="expression" priority="151" dxfId="0" stopIfTrue="1">
      <formula>H171&lt;6</formula>
    </cfRule>
  </conditionalFormatting>
  <conditionalFormatting sqref="B170">
    <cfRule type="expression" priority="149" dxfId="0" stopIfTrue="1">
      <formula>H170&lt;6</formula>
    </cfRule>
  </conditionalFormatting>
  <conditionalFormatting sqref="A171">
    <cfRule type="expression" priority="148" dxfId="0" stopIfTrue="1">
      <formula>G171&lt;6</formula>
    </cfRule>
  </conditionalFormatting>
  <conditionalFormatting sqref="C164">
    <cfRule type="expression" priority="156" dxfId="0" stopIfTrue="1">
      <formula>I164&lt;6</formula>
    </cfRule>
  </conditionalFormatting>
  <conditionalFormatting sqref="B132">
    <cfRule type="expression" priority="145" dxfId="0" stopIfTrue="1">
      <formula>H132&lt;6</formula>
    </cfRule>
  </conditionalFormatting>
  <conditionalFormatting sqref="C171">
    <cfRule type="expression" priority="152" dxfId="0" stopIfTrue="1">
      <formula>I171&lt;6</formula>
    </cfRule>
  </conditionalFormatting>
  <conditionalFormatting sqref="C170">
    <cfRule type="expression" priority="150" dxfId="0" stopIfTrue="1">
      <formula>I170&lt;6</formula>
    </cfRule>
  </conditionalFormatting>
  <conditionalFormatting sqref="C132">
    <cfRule type="expression" priority="146" dxfId="0" stopIfTrue="1">
      <formula>I132&lt;6</formula>
    </cfRule>
  </conditionalFormatting>
  <conditionalFormatting sqref="B500">
    <cfRule type="expression" priority="139" dxfId="0" stopIfTrue="1">
      <formula>H500&lt;6</formula>
    </cfRule>
  </conditionalFormatting>
  <conditionalFormatting sqref="A132">
    <cfRule type="expression" priority="144" dxfId="0" stopIfTrue="1">
      <formula>G132&lt;6</formula>
    </cfRule>
  </conditionalFormatting>
  <conditionalFormatting sqref="C133">
    <cfRule type="expression" priority="142" dxfId="0" stopIfTrue="1">
      <formula>I133&lt;6</formula>
    </cfRule>
  </conditionalFormatting>
  <conditionalFormatting sqref="C133">
    <cfRule type="expression" priority="141" dxfId="0" stopIfTrue="1">
      <formula>I133&lt;6</formula>
    </cfRule>
  </conditionalFormatting>
  <conditionalFormatting sqref="C145">
    <cfRule type="expression" priority="143" dxfId="0" stopIfTrue="1">
      <formula>H145&lt;6</formula>
    </cfRule>
  </conditionalFormatting>
  <conditionalFormatting sqref="C500">
    <cfRule type="expression" priority="140" dxfId="0" stopIfTrue="1">
      <formula>I500&lt;6</formula>
    </cfRule>
  </conditionalFormatting>
  <conditionalFormatting sqref="C58">
    <cfRule type="expression" priority="135" dxfId="0" stopIfTrue="1">
      <formula>H58&lt;6</formula>
    </cfRule>
  </conditionalFormatting>
  <conditionalFormatting sqref="A494">
    <cfRule type="expression" priority="136" dxfId="0" stopIfTrue="1">
      <formula>G494&lt;6</formula>
    </cfRule>
  </conditionalFormatting>
  <conditionalFormatting sqref="B494">
    <cfRule type="expression" priority="137" dxfId="0" stopIfTrue="1">
      <formula>H494&lt;6</formula>
    </cfRule>
  </conditionalFormatting>
  <conditionalFormatting sqref="C494">
    <cfRule type="expression" priority="138" dxfId="0" stopIfTrue="1">
      <formula>I494&lt;6</formula>
    </cfRule>
  </conditionalFormatting>
  <conditionalFormatting sqref="A193">
    <cfRule type="expression" priority="132" dxfId="0" stopIfTrue="1">
      <formula>G193&lt;6</formula>
    </cfRule>
  </conditionalFormatting>
  <conditionalFormatting sqref="B193">
    <cfRule type="expression" priority="133" dxfId="0" stopIfTrue="1">
      <formula>H193&lt;6</formula>
    </cfRule>
  </conditionalFormatting>
  <conditionalFormatting sqref="C193">
    <cfRule type="expression" priority="134" dxfId="0" stopIfTrue="1">
      <formula>I193&lt;6</formula>
    </cfRule>
  </conditionalFormatting>
  <conditionalFormatting sqref="A511">
    <cfRule type="expression" priority="129" dxfId="0" stopIfTrue="1">
      <formula>G511&lt;6</formula>
    </cfRule>
  </conditionalFormatting>
  <conditionalFormatting sqref="B511">
    <cfRule type="expression" priority="130" dxfId="0" stopIfTrue="1">
      <formula>H511&lt;6</formula>
    </cfRule>
  </conditionalFormatting>
  <conditionalFormatting sqref="C511">
    <cfRule type="expression" priority="131" dxfId="0" stopIfTrue="1">
      <formula>I511&lt;6</formula>
    </cfRule>
  </conditionalFormatting>
  <conditionalFormatting sqref="B320">
    <cfRule type="expression" priority="125" dxfId="0" stopIfTrue="1">
      <formula>H320&lt;6</formula>
    </cfRule>
  </conditionalFormatting>
  <conditionalFormatting sqref="B321">
    <cfRule type="expression" priority="126" dxfId="0" stopIfTrue="1">
      <formula>H321&lt;6</formula>
    </cfRule>
  </conditionalFormatting>
  <conditionalFormatting sqref="C321">
    <cfRule type="expression" priority="128" dxfId="0" stopIfTrue="1">
      <formula>I321&lt;6</formula>
    </cfRule>
  </conditionalFormatting>
  <conditionalFormatting sqref="C320">
    <cfRule type="expression" priority="127" dxfId="0" stopIfTrue="1">
      <formula>I320&lt;6</formula>
    </cfRule>
  </conditionalFormatting>
  <conditionalFormatting sqref="A352 A354:A355">
    <cfRule type="expression" priority="124" dxfId="0" stopIfTrue="1">
      <formula>G352&lt;6</formula>
    </cfRule>
  </conditionalFormatting>
  <conditionalFormatting sqref="B352">
    <cfRule type="expression" priority="122" dxfId="0" stopIfTrue="1">
      <formula>H352&lt;6</formula>
    </cfRule>
  </conditionalFormatting>
  <conditionalFormatting sqref="C352">
    <cfRule type="expression" priority="123" dxfId="0" stopIfTrue="1">
      <formula>I352&lt;6</formula>
    </cfRule>
  </conditionalFormatting>
  <conditionalFormatting sqref="A358:A362">
    <cfRule type="expression" priority="121" dxfId="0" stopIfTrue="1">
      <formula>G358&lt;6</formula>
    </cfRule>
  </conditionalFormatting>
  <conditionalFormatting sqref="A353">
    <cfRule type="expression" priority="120" dxfId="0" stopIfTrue="1">
      <formula>G353&lt;6</formula>
    </cfRule>
  </conditionalFormatting>
  <conditionalFormatting sqref="B353">
    <cfRule type="expression" priority="118" dxfId="0" stopIfTrue="1">
      <formula>H353&lt;6</formula>
    </cfRule>
  </conditionalFormatting>
  <conditionalFormatting sqref="C353">
    <cfRule type="expression" priority="119" dxfId="0" stopIfTrue="1">
      <formula>I353&lt;6</formula>
    </cfRule>
  </conditionalFormatting>
  <conditionalFormatting sqref="C357">
    <cfRule type="expression" priority="116" dxfId="0" stopIfTrue="1">
      <formula>I357&lt;6</formula>
    </cfRule>
  </conditionalFormatting>
  <conditionalFormatting sqref="A364">
    <cfRule type="expression" priority="114" dxfId="0" stopIfTrue="1">
      <formula>G364&lt;6</formula>
    </cfRule>
  </conditionalFormatting>
  <conditionalFormatting sqref="B357">
    <cfRule type="expression" priority="115" dxfId="0" stopIfTrue="1">
      <formula>H357&lt;6</formula>
    </cfRule>
  </conditionalFormatting>
  <conditionalFormatting sqref="C364">
    <cfRule type="expression" priority="113" dxfId="0" stopIfTrue="1">
      <formula>I364&lt;6</formula>
    </cfRule>
  </conditionalFormatting>
  <conditionalFormatting sqref="A357">
    <cfRule type="expression" priority="117" dxfId="0" stopIfTrue="1">
      <formula>G357&lt;6</formula>
    </cfRule>
  </conditionalFormatting>
  <conditionalFormatting sqref="B364">
    <cfRule type="expression" priority="112" dxfId="0" stopIfTrue="1">
      <formula>H364&lt;6</formula>
    </cfRule>
  </conditionalFormatting>
  <conditionalFormatting sqref="A365:A372">
    <cfRule type="expression" priority="111" dxfId="0" stopIfTrue="1">
      <formula>G365&lt;6</formula>
    </cfRule>
  </conditionalFormatting>
  <conditionalFormatting sqref="A373">
    <cfRule type="expression" priority="110" dxfId="0" stopIfTrue="1">
      <formula>G373&lt;6</formula>
    </cfRule>
  </conditionalFormatting>
  <conditionalFormatting sqref="C261">
    <cfRule type="expression" priority="93" dxfId="0" stopIfTrue="1">
      <formula>I261&lt;6</formula>
    </cfRule>
  </conditionalFormatting>
  <conditionalFormatting sqref="C394:C397">
    <cfRule type="expression" priority="92" dxfId="0" stopIfTrue="1">
      <formula>I394&lt;6</formula>
    </cfRule>
  </conditionalFormatting>
  <conditionalFormatting sqref="B261">
    <cfRule type="expression" priority="91" dxfId="0" stopIfTrue="1">
      <formula>H261&lt;6</formula>
    </cfRule>
  </conditionalFormatting>
  <conditionalFormatting sqref="E61">
    <cfRule type="expression" priority="71" dxfId="0" stopIfTrue="1">
      <formula>K61&lt;6</formula>
    </cfRule>
  </conditionalFormatting>
  <conditionalFormatting sqref="E74">
    <cfRule type="expression" priority="69" dxfId="0" stopIfTrue="1">
      <formula>K74&lt;6</formula>
    </cfRule>
  </conditionalFormatting>
  <conditionalFormatting sqref="E14">
    <cfRule type="expression" priority="68" dxfId="0" stopIfTrue="1">
      <formula>K14&lt;6</formula>
    </cfRule>
  </conditionalFormatting>
  <conditionalFormatting sqref="E10">
    <cfRule type="expression" priority="65" dxfId="0" stopIfTrue="1">
      <formula>K10&lt;6</formula>
    </cfRule>
  </conditionalFormatting>
  <conditionalFormatting sqref="E57">
    <cfRule type="expression" priority="70" dxfId="0" stopIfTrue="1">
      <formula>K57&lt;6</formula>
    </cfRule>
  </conditionalFormatting>
  <conditionalFormatting sqref="E32">
    <cfRule type="expression" priority="66" dxfId="0" stopIfTrue="1">
      <formula>K32&lt;6</formula>
    </cfRule>
  </conditionalFormatting>
  <conditionalFormatting sqref="E5">
    <cfRule type="expression" priority="67" dxfId="0" stopIfTrue="1">
      <formula>K5&lt;6</formula>
    </cfRule>
  </conditionalFormatting>
  <conditionalFormatting sqref="E376">
    <cfRule type="expression" priority="88" dxfId="0" stopIfTrue="1">
      <formula>K376&lt;6</formula>
    </cfRule>
  </conditionalFormatting>
  <conditionalFormatting sqref="E380">
    <cfRule type="expression" priority="87" dxfId="0" stopIfTrue="1">
      <formula>K380&lt;6</formula>
    </cfRule>
  </conditionalFormatting>
  <conditionalFormatting sqref="E153">
    <cfRule type="expression" priority="83" dxfId="0" stopIfTrue="1">
      <formula>K153&lt;6</formula>
    </cfRule>
  </conditionalFormatting>
  <conditionalFormatting sqref="E209">
    <cfRule type="expression" priority="90" dxfId="0" stopIfTrue="1">
      <formula>K209&lt;6</formula>
    </cfRule>
  </conditionalFormatting>
  <conditionalFormatting sqref="E158">
    <cfRule type="expression" priority="84" dxfId="0" stopIfTrue="1">
      <formula>K158&lt;6</formula>
    </cfRule>
  </conditionalFormatting>
  <conditionalFormatting sqref="E177">
    <cfRule type="expression" priority="85" dxfId="0" stopIfTrue="1">
      <formula>K177&lt;6</formula>
    </cfRule>
  </conditionalFormatting>
  <conditionalFormatting sqref="E275">
    <cfRule type="expression" priority="89" dxfId="0" stopIfTrue="1">
      <formula>K275&lt;6</formula>
    </cfRule>
  </conditionalFormatting>
  <conditionalFormatting sqref="E408">
    <cfRule type="expression" priority="80" dxfId="0" stopIfTrue="1">
      <formula>K408&lt;6</formula>
    </cfRule>
  </conditionalFormatting>
  <conditionalFormatting sqref="E148">
    <cfRule type="expression" priority="82" dxfId="0" stopIfTrue="1">
      <formula>K148&lt;6</formula>
    </cfRule>
  </conditionalFormatting>
  <conditionalFormatting sqref="E401">
    <cfRule type="expression" priority="81" dxfId="0" stopIfTrue="1">
      <formula>K401&lt;6</formula>
    </cfRule>
  </conditionalFormatting>
  <conditionalFormatting sqref="E37">
    <cfRule type="expression" priority="74" dxfId="0" stopIfTrue="1">
      <formula>K37&lt;6</formula>
    </cfRule>
  </conditionalFormatting>
  <conditionalFormatting sqref="E487">
    <cfRule type="expression" priority="78" dxfId="0" stopIfTrue="1">
      <formula>K487&lt;6</formula>
    </cfRule>
  </conditionalFormatting>
  <conditionalFormatting sqref="E515">
    <cfRule type="expression" priority="77" dxfId="0" stopIfTrue="1">
      <formula>K515&lt;6</formula>
    </cfRule>
  </conditionalFormatting>
  <conditionalFormatting sqref="E41">
    <cfRule type="expression" priority="73" dxfId="0" stopIfTrue="1">
      <formula>K41&lt;6</formula>
    </cfRule>
  </conditionalFormatting>
  <conditionalFormatting sqref="E470">
    <cfRule type="expression" priority="62" dxfId="0" stopIfTrue="1">
      <formula>K470&lt;6</formula>
    </cfRule>
  </conditionalFormatting>
  <conditionalFormatting sqref="E20 E41 E23">
    <cfRule type="expression" priority="75" dxfId="0" stopIfTrue="1">
      <formula>K20&lt;6</formula>
    </cfRule>
  </conditionalFormatting>
  <conditionalFormatting sqref="E465">
    <cfRule type="expression" priority="79" dxfId="0" stopIfTrue="1">
      <formula>K465&lt;6</formula>
    </cfRule>
  </conditionalFormatting>
  <conditionalFormatting sqref="E53">
    <cfRule type="expression" priority="72" dxfId="0" stopIfTrue="1">
      <formula>K53&lt;6</formula>
    </cfRule>
  </conditionalFormatting>
  <conditionalFormatting sqref="E27">
    <cfRule type="expression" priority="64" dxfId="0" stopIfTrue="1">
      <formula>K27&lt;6</formula>
    </cfRule>
  </conditionalFormatting>
  <conditionalFormatting sqref="E499">
    <cfRule type="expression" priority="63" dxfId="0" stopIfTrue="1">
      <formula>K499&lt;6</formula>
    </cfRule>
  </conditionalFormatting>
  <conditionalFormatting sqref="E476">
    <cfRule type="expression" priority="61" dxfId="0" stopIfTrue="1">
      <formula>K476&lt;6</formula>
    </cfRule>
  </conditionalFormatting>
  <conditionalFormatting sqref="E482">
    <cfRule type="expression" priority="60" dxfId="0" stopIfTrue="1">
      <formula>K482&lt;6</formula>
    </cfRule>
  </conditionalFormatting>
  <conditionalFormatting sqref="E204">
    <cfRule type="expression" priority="57" dxfId="0" stopIfTrue="1">
      <formula>K204&lt;6</formula>
    </cfRule>
  </conditionalFormatting>
  <conditionalFormatting sqref="E200">
    <cfRule type="expression" priority="59" dxfId="0" stopIfTrue="1">
      <formula>K200&lt;6</formula>
    </cfRule>
  </conditionalFormatting>
  <conditionalFormatting sqref="E198">
    <cfRule type="expression" priority="58" dxfId="0" stopIfTrue="1">
      <formula>K198&lt;6</formula>
    </cfRule>
  </conditionalFormatting>
  <conditionalFormatting sqref="E217">
    <cfRule type="expression" priority="56" dxfId="0" stopIfTrue="1">
      <formula>K217&lt;6</formula>
    </cfRule>
  </conditionalFormatting>
  <conditionalFormatting sqref="E241">
    <cfRule type="expression" priority="52" dxfId="0" stopIfTrue="1">
      <formula>K241&lt;6</formula>
    </cfRule>
  </conditionalFormatting>
  <conditionalFormatting sqref="E250">
    <cfRule type="expression" priority="51" dxfId="0" stopIfTrue="1">
      <formula>K250&lt;6</formula>
    </cfRule>
  </conditionalFormatting>
  <conditionalFormatting sqref="E222">
    <cfRule type="expression" priority="55" dxfId="0" stopIfTrue="1">
      <formula>K222&lt;6</formula>
    </cfRule>
  </conditionalFormatting>
  <conditionalFormatting sqref="E229">
    <cfRule type="expression" priority="54" dxfId="0" stopIfTrue="1">
      <formula>K229&lt;6</formula>
    </cfRule>
  </conditionalFormatting>
  <conditionalFormatting sqref="E239">
    <cfRule type="expression" priority="53" dxfId="0" stopIfTrue="1">
      <formula>K239&lt;6</formula>
    </cfRule>
  </conditionalFormatting>
  <conditionalFormatting sqref="E45">
    <cfRule type="expression" priority="47" dxfId="0" stopIfTrue="1">
      <formula>K45&lt;6</formula>
    </cfRule>
  </conditionalFormatting>
  <conditionalFormatting sqref="E49">
    <cfRule type="expression" priority="46" dxfId="0" stopIfTrue="1">
      <formula>K49&lt;6</formula>
    </cfRule>
  </conditionalFormatting>
  <conditionalFormatting sqref="E213">
    <cfRule type="expression" priority="45" dxfId="0" stopIfTrue="1">
      <formula>K213&lt;6</formula>
    </cfRule>
  </conditionalFormatting>
  <conditionalFormatting sqref="E258">
    <cfRule type="expression" priority="44" dxfId="0" stopIfTrue="1">
      <formula>K258&lt;6</formula>
    </cfRule>
  </conditionalFormatting>
  <conditionalFormatting sqref="E391">
    <cfRule type="expression" priority="41" dxfId="0" stopIfTrue="1">
      <formula>K391&lt;6</formula>
    </cfRule>
  </conditionalFormatting>
  <conditionalFormatting sqref="E181">
    <cfRule type="expression" priority="34" dxfId="0" stopIfTrue="1">
      <formula>K181&lt;6</formula>
    </cfRule>
  </conditionalFormatting>
  <conditionalFormatting sqref="E185">
    <cfRule type="expression" priority="33" dxfId="0" stopIfTrue="1">
      <formula>K185&lt;6</formula>
    </cfRule>
  </conditionalFormatting>
  <conditionalFormatting sqref="E189">
    <cfRule type="expression" priority="32" dxfId="0" stopIfTrue="1">
      <formula>K189&lt;6</formula>
    </cfRule>
  </conditionalFormatting>
  <conditionalFormatting sqref="E431">
    <cfRule type="expression" priority="31" dxfId="0" stopIfTrue="1">
      <formula>K431&lt;6</formula>
    </cfRule>
  </conditionalFormatting>
  <conditionalFormatting sqref="E437">
    <cfRule type="expression" priority="30" dxfId="0" stopIfTrue="1">
      <formula>K437&lt;6</formula>
    </cfRule>
  </conditionalFormatting>
  <conditionalFormatting sqref="E456">
    <cfRule type="expression" priority="29" dxfId="0" stopIfTrue="1">
      <formula>K456&lt;6</formula>
    </cfRule>
  </conditionalFormatting>
  <conditionalFormatting sqref="E460">
    <cfRule type="expression" priority="28" dxfId="0" stopIfTrue="1">
      <formula>K460&lt;6</formula>
    </cfRule>
  </conditionalFormatting>
  <conditionalFormatting sqref="E147">
    <cfRule type="expression" priority="27" dxfId="0" stopIfTrue="1">
      <formula>K147&lt;6</formula>
    </cfRule>
  </conditionalFormatting>
  <conditionalFormatting sqref="E82">
    <cfRule type="expression" priority="26" dxfId="0" stopIfTrue="1">
      <formula>K82&lt;6</formula>
    </cfRule>
  </conditionalFormatting>
  <conditionalFormatting sqref="E101">
    <cfRule type="expression" priority="25" dxfId="0" stopIfTrue="1">
      <formula>K101&lt;6</formula>
    </cfRule>
  </conditionalFormatting>
  <conditionalFormatting sqref="E114">
    <cfRule type="expression" priority="24" dxfId="0" stopIfTrue="1">
      <formula>K114&lt;6</formula>
    </cfRule>
  </conditionalFormatting>
  <conditionalFormatting sqref="E423">
    <cfRule type="expression" priority="23" dxfId="0" stopIfTrue="1">
      <formula>K423&lt;6</formula>
    </cfRule>
  </conditionalFormatting>
  <conditionalFormatting sqref="E164">
    <cfRule type="expression" priority="21" dxfId="0" stopIfTrue="1">
      <formula>K164&lt;6</formula>
    </cfRule>
  </conditionalFormatting>
  <conditionalFormatting sqref="E170">
    <cfRule type="expression" priority="20" dxfId="0" stopIfTrue="1">
      <formula>K170&lt;6</formula>
    </cfRule>
  </conditionalFormatting>
  <conditionalFormatting sqref="E132">
    <cfRule type="expression" priority="19" dxfId="0" stopIfTrue="1">
      <formula>K132&lt;6</formula>
    </cfRule>
  </conditionalFormatting>
  <conditionalFormatting sqref="E193">
    <cfRule type="expression" priority="18" dxfId="0" stopIfTrue="1">
      <formula>K193&lt;6</formula>
    </cfRule>
  </conditionalFormatting>
  <conditionalFormatting sqref="E511">
    <cfRule type="expression" priority="17" dxfId="0" stopIfTrue="1">
      <formula>K511&lt;6</formula>
    </cfRule>
  </conditionalFormatting>
  <conditionalFormatting sqref="E352">
    <cfRule type="expression" priority="16" dxfId="0" stopIfTrue="1">
      <formula>K352&lt;6</formula>
    </cfRule>
  </conditionalFormatting>
  <conditionalFormatting sqref="E353">
    <cfRule type="expression" priority="15" dxfId="0" stopIfTrue="1">
      <formula>K353&lt;6</formula>
    </cfRule>
  </conditionalFormatting>
  <conditionalFormatting sqref="E357">
    <cfRule type="expression" priority="14" dxfId="0" stopIfTrue="1">
      <formula>K357&lt;6</formula>
    </cfRule>
  </conditionalFormatting>
  <conditionalFormatting sqref="E364">
    <cfRule type="expression" priority="13" dxfId="0" stopIfTrue="1">
      <formula>K364&lt;6</formula>
    </cfRule>
  </conditionalFormatting>
  <conditionalFormatting sqref="E523">
    <cfRule type="expression" priority="5" dxfId="0" stopIfTrue="1">
      <formula>K523&lt;6</formula>
    </cfRule>
  </conditionalFormatting>
  <conditionalFormatting sqref="B526">
    <cfRule type="expression" priority="8" dxfId="0" stopIfTrue="1">
      <formula>H526&lt;6</formula>
    </cfRule>
  </conditionalFormatting>
  <conditionalFormatting sqref="C526">
    <cfRule type="expression" priority="7" dxfId="0" stopIfTrue="1">
      <formula>I526&lt;6</formula>
    </cfRule>
  </conditionalFormatting>
  <conditionalFormatting sqref="C526">
    <cfRule type="expression" priority="6" dxfId="0" stopIfTrue="1">
      <formula>I526&lt;6</formula>
    </cfRule>
  </conditionalFormatting>
  <conditionalFormatting sqref="C254">
    <cfRule type="expression" priority="4" dxfId="0" stopIfTrue="1">
      <formula>I254&lt;6</formula>
    </cfRule>
  </conditionalFormatting>
  <conditionalFormatting sqref="A254">
    <cfRule type="expression" priority="2" dxfId="0" stopIfTrue="1">
      <formula>G254&lt;6</formula>
    </cfRule>
  </conditionalFormatting>
  <conditionalFormatting sqref="B254">
    <cfRule type="expression" priority="3" dxfId="0" stopIfTrue="1">
      <formula>H254&lt;6</formula>
    </cfRule>
  </conditionalFormatting>
  <conditionalFormatting sqref="E253">
    <cfRule type="expression" priority="1" dxfId="0" stopIfTrue="1">
      <formula>K253&lt;6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Nova04</dc:creator>
  <cp:keywords/>
  <dc:description/>
  <cp:lastModifiedBy>ControlTec530</cp:lastModifiedBy>
  <cp:lastPrinted>2021-11-26T11:35:21Z</cp:lastPrinted>
  <dcterms:created xsi:type="dcterms:W3CDTF">2002-04-08T19:37:37Z</dcterms:created>
  <dcterms:modified xsi:type="dcterms:W3CDTF">2022-07-01T14:07:48Z</dcterms:modified>
  <cp:category/>
  <cp:version/>
  <cp:contentType/>
  <cp:contentStatus/>
</cp:coreProperties>
</file>